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codeName="ThisWorkbook" defaultThemeVersion="124226"/>
  <mc:AlternateContent xmlns:mc="http://schemas.openxmlformats.org/markup-compatibility/2006">
    <mc:Choice Requires="x15">
      <x15ac:absPath xmlns:x15ac="http://schemas.microsoft.com/office/spreadsheetml/2010/11/ac" url="/Users/jason/ShareFile/Shared Folders/PAY FOLDER - DILLON/2019/Shutdown Pay Calculator/"/>
    </mc:Choice>
  </mc:AlternateContent>
  <xr:revisionPtr revIDLastSave="0" documentId="13_ncr:1_{5FED529F-0D6A-8142-BF7D-9784BE5FDCF6}" xr6:coauthVersionLast="36" xr6:coauthVersionMax="36" xr10:uidLastSave="{00000000-0000-0000-0000-000000000000}"/>
  <workbookProtection workbookAlgorithmName="SHA-512" workbookHashValue="8F/YkO//tSwK7oCi6FUk96+8Zkz8QHOPJ3mgudUQuCzielipHnZnr3DhARPotgQ0tc4hUAwB0FewKYDRS9zK8A==" workbookSaltValue="P2yxwefz3JoRZuS8esMgbg==" workbookSpinCount="100000" lockStructure="1"/>
  <bookViews>
    <workbookView xWindow="0" yWindow="460" windowWidth="38400" windowHeight="20320" xr2:uid="{00000000-000D-0000-FFFF-FFFF00000000}"/>
  </bookViews>
  <sheets>
    <sheet name="INSTRUCTIONS" sheetId="40" r:id="rId1"/>
    <sheet name="STEP 1 - EMPLOYEE INFORMATION" sheetId="32" r:id="rId2"/>
    <sheet name="STEP 2 - HOURS WORKED" sheetId="30" r:id="rId3"/>
    <sheet name="STEP 3 - STATE TAXES" sheetId="38" r:id="rId4"/>
    <sheet name="LES SUMMARY" sheetId="39" r:id="rId5"/>
    <sheet name="DO NOT EDIT - FED TAX TABLES" sheetId="34" state="hidden" r:id="rId6"/>
    <sheet name="DO NOT EDIT - DEFINITIONS" sheetId="28" state="hidden" r:id="rId7"/>
    <sheet name="TEST - DELETE" sheetId="37" state="hidden" r:id="rId8"/>
  </sheets>
  <definedNames>
    <definedName name="DED_NON_TAX">'STEP 1 - EMPLOYEE INFORMATION'!$H$9:$H$11</definedName>
    <definedName name="DEF_EXEMPTION">'DO NOT EDIT - DEFINITIONS'!$M$2:$N$39</definedName>
    <definedName name="DEF_FERS">'DO NOT EDIT - DEFINITIONS'!$K$9</definedName>
    <definedName name="DEF_FILING_STATUS">'DO NOT EDIT - DEFINITIONS'!$L$2:$L$3</definedName>
    <definedName name="DEF_LEAVE_TYPES">'DO NOT EDIT - DEFINITIONS'!$D$2:$D$6</definedName>
    <definedName name="DEF_MEDICARE">'DO NOT EDIT - DEFINITIONS'!$K$7</definedName>
    <definedName name="DEF_NIGHT_DIF_END">'DO NOT EDIT - DEFINITIONS'!$I$5</definedName>
    <definedName name="DEF_NIGHT_DIF_START">'DO NOT EDIT - DEFINITIONS'!$I$3</definedName>
    <definedName name="DEF_OASDI">'DO NOT EDIT - DEFINITIONS'!$K$3</definedName>
    <definedName name="DEF_PP_CALC">'DO NOT EDIT - DEFINITIONS'!#REF!</definedName>
    <definedName name="DEF_PP_COUNT">'DO NOT EDIT - DEFINITIONS'!$H$2</definedName>
    <definedName name="DEF_PPS_DATES">'DO NOT EDIT - DEFINITIONS'!$E:$G</definedName>
    <definedName name="DEF_SHIFT_TYPES">'DO NOT EDIT - DEFINITIONS'!$B$2:$B$7</definedName>
    <definedName name="DEF_SUNDAY_END">'DO NOT EDIT - DEFINITIONS'!$J$5</definedName>
    <definedName name="DEF_SUNDAY_START">'DO NOT EDIT - DEFINITIONS'!$J$3</definedName>
    <definedName name="DEF_TOS_TYPES">'DO NOT EDIT - DEFINITIONS'!$C$2:$C$4</definedName>
    <definedName name="DEF_UNION_DUES">'DO NOT EDIT - DEFINITIONS'!$K$5</definedName>
    <definedName name="DEF_YEAR">'DO NOT EDIT - DEFINITIONS'!#REF!</definedName>
    <definedName name="DEF_YEAR_MULTIPLE">'DO NOT EDIT - DEFINITIONS'!#REF!</definedName>
    <definedName name="DEF_YEAR_MULTIPLE1">'DO NOT EDIT - DEFINITIONS'!#REF!</definedName>
    <definedName name="DEF_YEARS_27PP">'DO NOT EDIT - DEFINITIONS'!$H$4:$H$13</definedName>
    <definedName name="EMP_AL_BALANCE">'STEP 1 - EMPLOYEE INFORMATION'!$C$26</definedName>
    <definedName name="EMP_AL_BALANCE_NEG">'STEP 1 - EMPLOYEE INFORMATION'!$C$27</definedName>
    <definedName name="EMP_AL_EARN">'STEP 1 - EMPLOYEE INFORMATION'!$C$11</definedName>
    <definedName name="EMP_CIP_RATE">'STEP 1 - EMPLOYEE INFORMATION'!$C$23</definedName>
    <definedName name="EMP_CREDIT_BALANCE">'STEP 1 - EMPLOYEE INFORMATION'!$C$30</definedName>
    <definedName name="EMP_EXEMPTIONS">'STEP 1 - EMPLOYEE INFORMATION'!$C$16</definedName>
    <definedName name="EMP_FED_TAX_ADD">'STEP 1 - EMPLOYEE INFORMATION'!$C$17</definedName>
    <definedName name="EMP_FERS">'STEP 1 - EMPLOYEE INFORMATION'!$C$12</definedName>
    <definedName name="EMP_FILING_STATUS">'STEP 1 - EMPLOYEE INFORMATION'!$C$15</definedName>
    <definedName name="EMP_HOURLY">'STEP 1 - EMPLOYEE INFORMATION'!$C$9</definedName>
    <definedName name="EMP_NAME">'STEP 1 - EMPLOYEE INFORMATION'!$C$8</definedName>
    <definedName name="EMP_OASDI_OVERRIDE">'STEP 1 - EMPLOYEE INFORMATION'!$C$18</definedName>
    <definedName name="EMP_POST_TAX">'STEP 1 - EMPLOYEE INFORMATION'!$H$23</definedName>
    <definedName name="EMP_PP">'STEP 2 - HOURS WORKED'!$C$4</definedName>
    <definedName name="EMP_PRE_TAX">'STEP 1 - EMPLOYEE INFORMATION'!$H$9</definedName>
    <definedName name="EMP_PRE_TAX_TSP">'STEP 1 - EMPLOYEE INFORMATION'!$H$18</definedName>
    <definedName name="EMP_SL_BALANCE">'STEP 1 - EMPLOYEE INFORMATION'!$C$28</definedName>
    <definedName name="EMP_SL_BALANCE_NEG">'STEP 1 - EMPLOYEE INFORMATION'!$C$29</definedName>
    <definedName name="EMP_TCOMP_BALANCE">'STEP 1 - EMPLOYEE INFORMATION'!$C$31</definedName>
    <definedName name="EMP_YEAR">'STEP 2 - HOURS WORKED'!$C$3</definedName>
    <definedName name="END_BALANCE_AL">'LES SUMMARY'!$K$30</definedName>
    <definedName name="END_BALANCE_CREDIT">'LES SUMMARY'!$K$32</definedName>
    <definedName name="END_BALANCE_SL">'LES SUMMARY'!$K$31</definedName>
    <definedName name="END_BALANCE_TCOMP">'LES SUMMARY'!$K$33</definedName>
    <definedName name="FED_TAX_TOTAL">'DO NOT EDIT - FED TAX TABLES'!$E$3</definedName>
    <definedName name="FED_TAX_YEAR">'DO NOT EDIT - DEFINITIONS'!$O$2</definedName>
    <definedName name="GROSS_PAY">'LES SUMMARY'!$E$14</definedName>
    <definedName name="GROSS_TAXABLE">'LES SUMMARY'!$E$32</definedName>
    <definedName name="GROSS_TAXABLE_TSP">'LES SUMMARY'!$E$33</definedName>
    <definedName name="HOURS_WORKED_LAST_DAY">'STEP 2 - HOURS WORKED'!$C$21</definedName>
    <definedName name="HOURS_WORKED_LEAVE_HOURS">'STEP 2 - HOURS WORKED'!$K$8:$K$21</definedName>
    <definedName name="HOURS_WORKED_LEAVE_TYPE">'STEP 2 - HOURS WORKED'!$H$8:$H$21</definedName>
    <definedName name="HOURS_WORKED_SHIFT_HOURS">'STEP 2 - HOURS WORKED'!$G$8:$G$21</definedName>
    <definedName name="HOURS_WORKED_SHIFT_TYPE">'STEP 2 - HOURS WORKED'!$D$8:$D$21</definedName>
    <definedName name="HOURS_WORKED_TOS_HOURS">'STEP 2 - HOURS WORKED'!$O$8:$O$21</definedName>
    <definedName name="HOURS_WORKED_TOS_TYPE">'STEP 2 - HOURS WORKED'!$L$8:$L$21</definedName>
    <definedName name="Pay_Period_Start_Calculation">'DO NOT EDIT - DEFINITIONS'!$F$1</definedName>
    <definedName name="_xlnm.Print_Area" localSheetId="2">'STEP 2 - HOURS WORKED'!$A$1:$O$36</definedName>
    <definedName name="STATE_TAX_TOTAL">'STEP 3 - STATE TAXES'!$K$47</definedName>
    <definedName name="TAX_TABLES">'DO NOT EDIT - FED TAX TABLES'!$B$7:$G$34</definedName>
    <definedName name="TOTAL_DEDUCTIONS">'LES SUMMARY'!$E$29</definedName>
    <definedName name="UPDATED">INSTRUCTIONS!$C$6</definedName>
    <definedName name="WORKED_CIC">'STEP 2 - HOURS WORKED'!$C$29</definedName>
    <definedName name="WORKED_CIC_TEST">'STEP 2 - HOURS WORKED'!$D$29</definedName>
    <definedName name="WORKED_CIP">'STEP 2 - HOURS WORKED'!$C$31</definedName>
    <definedName name="WORKED_CIP_TEST">'STEP 2 - HOURS WORKED'!$D$31</definedName>
    <definedName name="WORKED_HOLIDAY">'STEP 2 - HOURS WORKED'!$C$30</definedName>
    <definedName name="WORKED_HOLIDAY_TEST">'STEP 2 - HOURS WORKED'!$D$30</definedName>
    <definedName name="WORKED_NIGHT_DIF">'STEP 2 - HOURS WORKED'!$C$27</definedName>
    <definedName name="WORKED_NIGHT_DIF_TEST">'STEP 2 - HOURS WORKED'!$D$27</definedName>
    <definedName name="WORKED_OJTI">'STEP 2 - HOURS WORKED'!$C$32</definedName>
    <definedName name="WORKED_OJTI_TEST">'STEP 2 - HOURS WORKED'!$D$32</definedName>
    <definedName name="WORKED_OT">'STEP 2 - HOURS WORKED'!$C$26</definedName>
    <definedName name="WORKED_OT_TEST">'STEP 2 - HOURS WORKED'!$D$26</definedName>
    <definedName name="WORKED_REGULAR">'STEP 2 - HOURS WORKED'!$C$25</definedName>
    <definedName name="WORKED_REGULAR_TEST">'STEP 2 - HOURS WORKED'!$D$25</definedName>
    <definedName name="WORKED_SUNDAY">'STEP 2 - HOURS WORKED'!$C$28</definedName>
    <definedName name="WORKED_SUNDAY_TEST">'STEP 2 - HOURS WORKED'!$D$28</definedName>
  </definedNames>
  <calcPr calcId="181029"/>
</workbook>
</file>

<file path=xl/calcChain.xml><?xml version="1.0" encoding="utf-8"?>
<calcChain xmlns="http://schemas.openxmlformats.org/spreadsheetml/2006/main">
  <c r="P9" i="30" l="1"/>
  <c r="P10" i="30"/>
  <c r="P11" i="30"/>
  <c r="P12" i="30"/>
  <c r="P13" i="30"/>
  <c r="P14" i="30"/>
  <c r="P15" i="30"/>
  <c r="P16" i="30"/>
  <c r="P17" i="30"/>
  <c r="P18" i="30"/>
  <c r="P19" i="30"/>
  <c r="P20" i="30"/>
  <c r="P21" i="30"/>
  <c r="P8" i="30"/>
  <c r="C32" i="30" l="1"/>
  <c r="J31" i="39"/>
  <c r="I32" i="39"/>
  <c r="J33" i="39"/>
  <c r="I33" i="39"/>
  <c r="J30" i="39"/>
  <c r="H36" i="32"/>
  <c r="H35" i="32"/>
  <c r="H34" i="32"/>
  <c r="H33" i="32"/>
  <c r="H32" i="32"/>
  <c r="H31" i="32"/>
  <c r="H30" i="32"/>
  <c r="H29" i="32"/>
  <c r="H28" i="32"/>
  <c r="H27" i="32"/>
  <c r="H26" i="32"/>
  <c r="H25" i="32"/>
  <c r="H24" i="32"/>
  <c r="H22" i="32"/>
  <c r="H21" i="32"/>
  <c r="H20" i="32"/>
  <c r="H19" i="32"/>
  <c r="H17" i="32"/>
  <c r="H16" i="32"/>
  <c r="H15" i="32"/>
  <c r="H14" i="32"/>
  <c r="H13" i="32"/>
  <c r="H12" i="32"/>
  <c r="H11" i="32"/>
  <c r="H10" i="32"/>
  <c r="H18" i="32" l="1"/>
  <c r="H23" i="32"/>
  <c r="H9" i="32"/>
  <c r="O2" i="28" l="1"/>
  <c r="C23" i="32" l="1"/>
  <c r="D8" i="39" l="1"/>
  <c r="D10" i="39"/>
  <c r="J8" i="39" l="1"/>
  <c r="J36" i="32"/>
  <c r="K47" i="38" l="1"/>
  <c r="Q16" i="30"/>
  <c r="Q9" i="30"/>
  <c r="K34" i="39"/>
  <c r="H2" i="28"/>
  <c r="C8" i="30"/>
  <c r="O32" i="30" l="1"/>
  <c r="E19" i="39" l="1"/>
  <c r="G2" i="39"/>
  <c r="H30" i="39"/>
  <c r="H31" i="39"/>
  <c r="H32" i="39"/>
  <c r="H33" i="39"/>
  <c r="K33" i="39" s="1"/>
  <c r="C38" i="39"/>
  <c r="C39" i="39"/>
  <c r="I9" i="37" l="1"/>
  <c r="G9" i="37"/>
  <c r="G9" i="30"/>
  <c r="G10" i="30"/>
  <c r="G11" i="30"/>
  <c r="G12" i="30"/>
  <c r="G13" i="30"/>
  <c r="G14" i="30"/>
  <c r="G15" i="30"/>
  <c r="G16" i="30"/>
  <c r="G17" i="30"/>
  <c r="G18" i="30"/>
  <c r="G19" i="30"/>
  <c r="G20" i="30"/>
  <c r="G21" i="30"/>
  <c r="G8" i="30"/>
  <c r="D34" i="34" l="1"/>
  <c r="D33" i="34"/>
  <c r="D32" i="34"/>
  <c r="D31" i="34"/>
  <c r="D30" i="34"/>
  <c r="D29" i="34"/>
  <c r="D27" i="34"/>
  <c r="D26" i="34"/>
  <c r="D25" i="34"/>
  <c r="D24" i="34"/>
  <c r="D23" i="34"/>
  <c r="D22" i="34"/>
  <c r="D20" i="34"/>
  <c r="D19" i="34"/>
  <c r="D18" i="34"/>
  <c r="D17" i="34"/>
  <c r="D16" i="34"/>
  <c r="D15" i="34"/>
  <c r="D9" i="34"/>
  <c r="D10" i="34"/>
  <c r="D11" i="34"/>
  <c r="D12" i="34"/>
  <c r="D13" i="34"/>
  <c r="D8" i="34"/>
  <c r="J13" i="37"/>
  <c r="H8" i="37"/>
  <c r="I8" i="37" s="1"/>
  <c r="T8" i="37" s="1"/>
  <c r="G8" i="37"/>
  <c r="H7" i="37"/>
  <c r="I7" i="37" s="1"/>
  <c r="T7" i="37" s="1"/>
  <c r="U7" i="37" s="1"/>
  <c r="V7" i="37" s="1"/>
  <c r="W7" i="37" s="1"/>
  <c r="H6" i="37"/>
  <c r="G4" i="37"/>
  <c r="G5" i="37"/>
  <c r="I5" i="37" s="1"/>
  <c r="J5" i="37" s="1"/>
  <c r="K5" i="37" s="1"/>
  <c r="G6" i="37"/>
  <c r="G7" i="37"/>
  <c r="U8" i="37" l="1"/>
  <c r="V8" i="37" s="1"/>
  <c r="W8" i="37" s="1"/>
  <c r="I6" i="37"/>
  <c r="J6" i="37" s="1"/>
  <c r="K6" i="37" s="1"/>
  <c r="J7" i="37"/>
  <c r="K7" i="37" s="1"/>
  <c r="T5" i="37"/>
  <c r="U5" i="37" s="1"/>
  <c r="V5" i="37" s="1"/>
  <c r="W5" i="37" s="1"/>
  <c r="I4" i="37"/>
  <c r="T4" i="37" s="1"/>
  <c r="U4" i="37" s="1"/>
  <c r="V4" i="37" s="1"/>
  <c r="W4" i="37" s="1"/>
  <c r="T6" i="37" l="1"/>
  <c r="U6" i="37" s="1"/>
  <c r="V6" i="37" s="1"/>
  <c r="W6" i="37" s="1"/>
  <c r="Q4" i="37"/>
  <c r="R4" i="37" s="1"/>
  <c r="N4" i="37"/>
  <c r="O4" i="37" s="1"/>
  <c r="J4" i="37"/>
  <c r="K4" i="37" s="1"/>
  <c r="R9" i="30"/>
  <c r="R11" i="30"/>
  <c r="R12" i="30"/>
  <c r="R14" i="30"/>
  <c r="R16" i="30"/>
  <c r="R17" i="30"/>
  <c r="R18" i="30"/>
  <c r="R21" i="30"/>
  <c r="R8" i="30"/>
  <c r="C9" i="32"/>
  <c r="C29" i="30"/>
  <c r="E24" i="39" l="1"/>
  <c r="E8" i="39"/>
  <c r="E10" i="39"/>
  <c r="E27" i="39" l="1"/>
  <c r="E28" i="39" l="1"/>
  <c r="K21" i="30"/>
  <c r="K20" i="30"/>
  <c r="K19" i="30"/>
  <c r="K18" i="30"/>
  <c r="K17" i="30"/>
  <c r="K16" i="30"/>
  <c r="K15" i="30"/>
  <c r="I31" i="39" s="1"/>
  <c r="D39" i="39" s="1"/>
  <c r="K31" i="39" s="1"/>
  <c r="K14" i="30"/>
  <c r="K13" i="30"/>
  <c r="K12" i="30"/>
  <c r="K11" i="30"/>
  <c r="K10" i="30"/>
  <c r="R10" i="30" s="1"/>
  <c r="K9" i="30"/>
  <c r="K8" i="30"/>
  <c r="O9" i="30"/>
  <c r="O10" i="30"/>
  <c r="O11" i="30"/>
  <c r="O12" i="30"/>
  <c r="O13" i="30"/>
  <c r="O14" i="30"/>
  <c r="C25" i="30" s="1"/>
  <c r="D4" i="39" s="1"/>
  <c r="O15" i="30"/>
  <c r="O16" i="30"/>
  <c r="O17" i="30"/>
  <c r="O18" i="30"/>
  <c r="O19" i="30"/>
  <c r="J32" i="39" s="1"/>
  <c r="K32" i="39" s="1"/>
  <c r="O20" i="30"/>
  <c r="O21" i="30"/>
  <c r="R13" i="30"/>
  <c r="R19" i="30"/>
  <c r="R20" i="30"/>
  <c r="O8" i="30"/>
  <c r="E23" i="39" l="1"/>
  <c r="E22" i="39" s="1"/>
  <c r="Q8" i="30"/>
  <c r="I30" i="39"/>
  <c r="D38" i="39" s="1"/>
  <c r="K30" i="39" s="1"/>
  <c r="R15" i="30"/>
  <c r="C30" i="30" s="1"/>
  <c r="D5" i="39" s="1"/>
  <c r="Q15" i="30"/>
  <c r="E26" i="39"/>
  <c r="E25" i="39" s="1"/>
  <c r="B8" i="30"/>
  <c r="E4" i="39"/>
  <c r="C27" i="30"/>
  <c r="C26" i="30"/>
  <c r="D11" i="39" s="1"/>
  <c r="D6" i="39" l="1"/>
  <c r="E6" i="39" s="1"/>
  <c r="E5" i="39"/>
  <c r="C28" i="30"/>
  <c r="C9" i="30"/>
  <c r="D7" i="39" l="1"/>
  <c r="E7" i="39" s="1"/>
  <c r="C10" i="30"/>
  <c r="B9" i="30"/>
  <c r="C11" i="30" l="1"/>
  <c r="B10" i="30"/>
  <c r="C12" i="30" l="1"/>
  <c r="B11" i="30"/>
  <c r="C13" i="30" l="1"/>
  <c r="B12" i="30"/>
  <c r="C14" i="30" l="1"/>
  <c r="B13" i="30"/>
  <c r="C15" i="30" l="1"/>
  <c r="B14" i="30"/>
  <c r="C16" i="30" l="1"/>
  <c r="B15" i="30"/>
  <c r="C17" i="30" l="1"/>
  <c r="B16" i="30"/>
  <c r="C18" i="30" l="1"/>
  <c r="B17" i="30"/>
  <c r="C19" i="30" l="1"/>
  <c r="B18" i="30"/>
  <c r="C20" i="30" l="1"/>
  <c r="B19" i="30"/>
  <c r="C21" i="30" l="1"/>
  <c r="J9" i="39" s="1"/>
  <c r="J10" i="39" s="1"/>
  <c r="B20" i="30"/>
  <c r="B21" i="30" l="1"/>
  <c r="H8" i="38"/>
  <c r="C31" i="30"/>
  <c r="D9" i="39" s="1"/>
  <c r="E9" i="39" l="1"/>
  <c r="E11" i="39" s="1"/>
  <c r="E14" i="39" s="1"/>
  <c r="J3" i="39" s="1"/>
  <c r="E32" i="39" s="1"/>
  <c r="E33" i="39" s="1"/>
  <c r="E20" i="39" l="1"/>
  <c r="E21" i="39"/>
  <c r="E2" i="34"/>
  <c r="G16" i="34" l="1"/>
  <c r="G24" i="34"/>
  <c r="G32" i="34"/>
  <c r="G18" i="34"/>
  <c r="G34" i="34"/>
  <c r="G27" i="34"/>
  <c r="G7" i="34"/>
  <c r="G29" i="34"/>
  <c r="G23" i="34"/>
  <c r="G9" i="34"/>
  <c r="G17" i="34"/>
  <c r="G25" i="34"/>
  <c r="G33" i="34"/>
  <c r="G26" i="34"/>
  <c r="G19" i="34"/>
  <c r="G8" i="34"/>
  <c r="G21" i="34"/>
  <c r="G30" i="34"/>
  <c r="G10" i="34"/>
  <c r="G28" i="34"/>
  <c r="G11" i="34"/>
  <c r="G20" i="34"/>
  <c r="G22" i="34"/>
  <c r="G31" i="34"/>
  <c r="G12" i="34"/>
  <c r="G13" i="34"/>
  <c r="G14" i="34"/>
  <c r="G15" i="34"/>
  <c r="H13" i="38"/>
  <c r="E3" i="34" l="1"/>
  <c r="E18" i="39" s="1"/>
  <c r="E17" i="39" s="1"/>
  <c r="E29" i="39" s="1"/>
  <c r="J4" i="39" s="1"/>
  <c r="J5" i="39" s="1"/>
</calcChain>
</file>

<file path=xl/sharedStrings.xml><?xml version="1.0" encoding="utf-8"?>
<sst xmlns="http://schemas.openxmlformats.org/spreadsheetml/2006/main" count="293" uniqueCount="208">
  <si>
    <t>TSP</t>
  </si>
  <si>
    <t>Union Dues</t>
  </si>
  <si>
    <t>TSP Loan</t>
  </si>
  <si>
    <t>Gross Pay</t>
  </si>
  <si>
    <t>Pay Period</t>
  </si>
  <si>
    <t>Union Dues %</t>
  </si>
  <si>
    <t>FERS %</t>
  </si>
  <si>
    <t>Gross Taxable</t>
  </si>
  <si>
    <t>Net Pay</t>
  </si>
  <si>
    <t>TOTALS</t>
  </si>
  <si>
    <t>Time Outside of Shift</t>
  </si>
  <si>
    <t>Activity</t>
  </si>
  <si>
    <t>Hours</t>
  </si>
  <si>
    <t>RDO</t>
  </si>
  <si>
    <t>SHIFT TYPES</t>
  </si>
  <si>
    <t>WORKED</t>
  </si>
  <si>
    <t>LEAVE</t>
  </si>
  <si>
    <t>CREDIT</t>
  </si>
  <si>
    <t>Start</t>
  </si>
  <si>
    <t>End</t>
  </si>
  <si>
    <t>TOS TYPES</t>
  </si>
  <si>
    <t>OVERTIME</t>
  </si>
  <si>
    <t>Night Differential</t>
  </si>
  <si>
    <t>Sunday Premium</t>
  </si>
  <si>
    <t>LEAVE TYPES</t>
  </si>
  <si>
    <t>ANNUAL</t>
  </si>
  <si>
    <t>SICK</t>
  </si>
  <si>
    <t>TRAVEL COMP</t>
  </si>
  <si>
    <t>Annual</t>
  </si>
  <si>
    <t>Sick</t>
  </si>
  <si>
    <t xml:space="preserve">Credit </t>
  </si>
  <si>
    <t>Travel Comp</t>
  </si>
  <si>
    <t>Annual Balance</t>
  </si>
  <si>
    <t>Leave Used</t>
  </si>
  <si>
    <t>Type</t>
  </si>
  <si>
    <t>Hourly Rate</t>
  </si>
  <si>
    <t>Regular Hours</t>
  </si>
  <si>
    <t>Overtime Hours</t>
  </si>
  <si>
    <t>Sick Balance</t>
  </si>
  <si>
    <t>Sick Balance is Negative?</t>
  </si>
  <si>
    <t>N</t>
  </si>
  <si>
    <t>Annual Balance is Negative?</t>
  </si>
  <si>
    <t>Beginning Balance Calculated</t>
  </si>
  <si>
    <t>Difference this PP</t>
  </si>
  <si>
    <t>Credit Balance</t>
  </si>
  <si>
    <t>Travel Comp Balance</t>
  </si>
  <si>
    <t>CALCULATE LEAVE BALANCES IN DECIMAL FORM TO ACCOUNT FOR NEGATIVE BALANCE</t>
  </si>
  <si>
    <t>Day</t>
  </si>
  <si>
    <t>Shifts Worked</t>
  </si>
  <si>
    <t>Employee Information</t>
  </si>
  <si>
    <t>Night Differential Range</t>
  </si>
  <si>
    <t>START</t>
  </si>
  <si>
    <t>END</t>
  </si>
  <si>
    <t>Name</t>
  </si>
  <si>
    <t>Annual Salary</t>
  </si>
  <si>
    <t>Deductions</t>
  </si>
  <si>
    <t>%</t>
  </si>
  <si>
    <t>$</t>
  </si>
  <si>
    <t>POST-TAX</t>
  </si>
  <si>
    <t>Total Deductions</t>
  </si>
  <si>
    <t>Earnings</t>
  </si>
  <si>
    <t>Regular</t>
  </si>
  <si>
    <t>Current</t>
  </si>
  <si>
    <t>Federal Taxes</t>
  </si>
  <si>
    <t>Retirement - FERS</t>
  </si>
  <si>
    <t>Medicare Tax</t>
  </si>
  <si>
    <t>Savings Allotment - UNUM</t>
  </si>
  <si>
    <t>FSA HC</t>
  </si>
  <si>
    <t>OASDI Tax</t>
  </si>
  <si>
    <t>Annual Leave Earned Per Pay Period</t>
  </si>
  <si>
    <t>OASDI Tax %</t>
  </si>
  <si>
    <t>Health Benefits</t>
  </si>
  <si>
    <t>Dental/Vision Benefits</t>
  </si>
  <si>
    <t>Medicare Tax %</t>
  </si>
  <si>
    <t>Pay Calculations</t>
  </si>
  <si>
    <t>Year</t>
  </si>
  <si>
    <t>Base</t>
  </si>
  <si>
    <t>Max</t>
  </si>
  <si>
    <t>Filing Status</t>
  </si>
  <si>
    <t>Married</t>
  </si>
  <si>
    <t>Single</t>
  </si>
  <si>
    <t>Calculated</t>
  </si>
  <si>
    <t>Filing</t>
  </si>
  <si>
    <t>Federal Tax Exemption $</t>
  </si>
  <si>
    <t># of Allowances/Exemptions</t>
  </si>
  <si>
    <t>Taxable Income After Exemptions</t>
  </si>
  <si>
    <t>Federal Tax Withheld</t>
  </si>
  <si>
    <t>State Taxes</t>
  </si>
  <si>
    <t>Federal Tax Additional Withholding</t>
  </si>
  <si>
    <t>OASDI Override (Reached FICA Cap)</t>
  </si>
  <si>
    <t>Controller In Charge</t>
  </si>
  <si>
    <t>HOLIDAY</t>
  </si>
  <si>
    <t>HOLIDAY LEAVE</t>
  </si>
  <si>
    <t>Gross Earnings</t>
  </si>
  <si>
    <t>Taxes</t>
  </si>
  <si>
    <t>Additional Deductions</t>
  </si>
  <si>
    <t>Hours Worked Summary</t>
  </si>
  <si>
    <t>Minutes Worked</t>
  </si>
  <si>
    <t>Hours:Minutes</t>
  </si>
  <si>
    <t>OR</t>
  </si>
  <si>
    <t>Taxable Earnings</t>
  </si>
  <si>
    <t>Gross Taxable w/TSP</t>
  </si>
  <si>
    <t>Total Earnings</t>
  </si>
  <si>
    <t>Holiday</t>
  </si>
  <si>
    <t>Overtime/FLSA Premium</t>
  </si>
  <si>
    <t>EARN CREDIT</t>
  </si>
  <si>
    <t>Controller Incentive Pay</t>
  </si>
  <si>
    <t>OJTI</t>
  </si>
  <si>
    <t>GROSS</t>
  </si>
  <si>
    <t>Healthcare</t>
  </si>
  <si>
    <t>Dental</t>
  </si>
  <si>
    <t>DEDUCTIONS</t>
  </si>
  <si>
    <t>TAXABLE</t>
  </si>
  <si>
    <t>EXEMPTIONS</t>
  </si>
  <si>
    <t>EXPECTED</t>
  </si>
  <si>
    <t>S</t>
  </si>
  <si>
    <t>ALT 1</t>
  </si>
  <si>
    <t>TAX</t>
  </si>
  <si>
    <t>ALT2</t>
  </si>
  <si>
    <t>M/1</t>
  </si>
  <si>
    <t>M/8</t>
  </si>
  <si>
    <t>M/6</t>
  </si>
  <si>
    <t>FSA</t>
  </si>
  <si>
    <t>Federal Tax Withholding - ANNUAL</t>
  </si>
  <si>
    <t>PRE-TAX (Federal/State Tax)</t>
  </si>
  <si>
    <t>FURLOUGH</t>
  </si>
  <si>
    <t>State Tax Amount</t>
  </si>
  <si>
    <t>County Tax Amount</t>
  </si>
  <si>
    <t>Local Tax Amount</t>
  </si>
  <si>
    <t>Beginning</t>
  </si>
  <si>
    <t>Remaining</t>
  </si>
  <si>
    <t>Federal Tax Information</t>
  </si>
  <si>
    <t>State Tax Calculator:</t>
  </si>
  <si>
    <t>PayCheckCity Calculator</t>
  </si>
  <si>
    <t>Instructions:</t>
  </si>
  <si>
    <t>Last day of the pay period selected in Step 2</t>
  </si>
  <si>
    <t>This is your calculated Gross Pay after subtracting any TSP contributions</t>
  </si>
  <si>
    <t>Bi-Weekly</t>
  </si>
  <si>
    <t>Pay Per Period</t>
  </si>
  <si>
    <t>Select Pay Per Period, since paychecks are received every two weeks and not annually.</t>
  </si>
  <si>
    <t>Not necessary, used to determine OASDI/FICA. This is calculated in this document.</t>
  </si>
  <si>
    <t>We are paid every two weeks</t>
  </si>
  <si>
    <t>Not Necessary</t>
  </si>
  <si>
    <t>Already entered on this spreadsheet, used to properly calculate federal taxes.</t>
  </si>
  <si>
    <t xml:space="preserve">These fields/questions change based on the state selected. Based on your personal tax situation and should be reflected on most recent LES. </t>
  </si>
  <si>
    <t>CALCULATE</t>
  </si>
  <si>
    <t>Press calculate to retrieve tax information</t>
  </si>
  <si>
    <t>State Tax Total</t>
  </si>
  <si>
    <t>Healthcare Pricing</t>
  </si>
  <si>
    <t>https://www.opm.gov/healthcare-insurance/healthcare/plan-information/compare-plans/</t>
  </si>
  <si>
    <t>Dental/Vision Pricing</t>
  </si>
  <si>
    <t>https://benefeds.com/</t>
  </si>
  <si>
    <t>Leave Type</t>
  </si>
  <si>
    <t>Leave Balance Summary</t>
  </si>
  <si>
    <t>CIP Amount</t>
  </si>
  <si>
    <t>CIP Hours Worked</t>
  </si>
  <si>
    <t>Leave Starting Balances - Optional</t>
  </si>
  <si>
    <t>Results of state tax calculations vary by state. Enter the values into the boxes below.</t>
  </si>
  <si>
    <t>PRE-TAX (Medicare/OASDI)</t>
  </si>
  <si>
    <t>Pay Periods</t>
  </si>
  <si>
    <t>PP in Selected Year</t>
  </si>
  <si>
    <t>Employee Deductions</t>
  </si>
  <si>
    <t>Pre-Tax (Medicare/OASDI)</t>
  </si>
  <si>
    <t>Pre-Tax (Federal)</t>
  </si>
  <si>
    <t>Post-Tax</t>
  </si>
  <si>
    <t>Differentials</t>
  </si>
  <si>
    <t>Night</t>
  </si>
  <si>
    <t>Sunday</t>
  </si>
  <si>
    <t>Sunday Premium Tweak</t>
  </si>
  <si>
    <t>CIP Rate</t>
  </si>
  <si>
    <t>NATCA Pay Period Calculator</t>
  </si>
  <si>
    <t>Pay Period Summary</t>
  </si>
  <si>
    <t>Pay Period Ending</t>
  </si>
  <si>
    <t>Pay Date</t>
  </si>
  <si>
    <r>
      <rPr>
        <b/>
        <sz val="11"/>
        <color theme="1"/>
        <rFont val="Calibri"/>
        <family val="2"/>
        <scheme val="minor"/>
      </rPr>
      <t>NOTE:</t>
    </r>
    <r>
      <rPr>
        <sz val="11"/>
        <color theme="1"/>
        <rFont val="Calibri"/>
        <family val="2"/>
        <scheme val="minor"/>
      </rPr>
      <t xml:space="preserve"> State tax calculation is outside the scope of this calculator. Variations of $5-10 from amounts withheld by the agency are to be expected.  </t>
    </r>
  </si>
  <si>
    <t>Visit the link above to view the tax withholding calculator at PaycheckCity and enter data as indicated to the right. Upon completion of the steps, enter the results in the table below labeled "State Taxes"</t>
  </si>
  <si>
    <t>CIC</t>
  </si>
  <si>
    <t>CIP</t>
  </si>
  <si>
    <t>Type of Pay</t>
  </si>
  <si>
    <t>Override</t>
  </si>
  <si>
    <r>
      <rPr>
        <b/>
        <sz val="8"/>
        <color theme="1"/>
        <rFont val="Calibri"/>
        <family val="2"/>
        <scheme val="minor"/>
      </rPr>
      <t xml:space="preserve">NOTE:
</t>
    </r>
    <r>
      <rPr>
        <sz val="8"/>
        <color theme="1"/>
        <rFont val="Calibri"/>
        <family val="2"/>
        <scheme val="minor"/>
      </rPr>
      <t>Entering times in the override column bypasses calculation of hours worked for pay purposes. However, it is preferred that members complete the time card above. Ensure that override boxes are empty to utilize automatica calcualtions.</t>
    </r>
  </si>
  <si>
    <t>TSP Roth</t>
  </si>
  <si>
    <t>Savings Allotment</t>
  </si>
  <si>
    <t>Discretionary Allotment</t>
  </si>
  <si>
    <t>Alimony/Child Support</t>
  </si>
  <si>
    <t>FEGLI Regular</t>
  </si>
  <si>
    <t>FEGLI Family</t>
  </si>
  <si>
    <t>FEGLI Additional</t>
  </si>
  <si>
    <t>FSA DC</t>
  </si>
  <si>
    <t>Federal Tax Year</t>
  </si>
  <si>
    <t>Change over after pay period 3</t>
  </si>
  <si>
    <r>
      <t xml:space="preserve">This calculator is intended to recreate the Leave and Earning Statements (LES)  from pay periods impacted by the government shutdown. Most information required to get an accurate estimate of remuneration due can be located on Leave and Earning Statements from recent pay periods, in conjunction with hours worked and leave taken either from CRU-ART or personal records. It is recommended to enter all information for pay period one into this calculator, and use "Save As" to name the document "2019LES-PP01". Then "Save As" again renaming the document to "2019LES-PP02" in order to reuse the Employee Information entered in Step 1. Repeat this process for each pay period to be calculated, replacing year and pay period number in the file name for subsequent documents.
There are three steps to recreate an LES. 
</t>
    </r>
    <r>
      <rPr>
        <b/>
        <sz val="12"/>
        <color theme="1"/>
        <rFont val="Calibri"/>
        <family val="2"/>
        <scheme val="minor"/>
      </rPr>
      <t xml:space="preserve">STEP 1 - EMPLOYEE INFORMATION
</t>
    </r>
    <r>
      <rPr>
        <sz val="12"/>
        <color theme="1"/>
        <rFont val="Calibri"/>
        <family val="2"/>
        <scheme val="minor"/>
      </rPr>
      <t xml:space="preserve">Pulled from the LES for pay period three, includes annual salary, federal tax information, and employee elected deductions. If completing a calculation for pay period twenty-seven ensure that the values on this page are updated to reflect 2018 withholdings.
</t>
    </r>
    <r>
      <rPr>
        <b/>
        <sz val="12"/>
        <color theme="1"/>
        <rFont val="Calibri"/>
        <family val="2"/>
        <scheme val="minor"/>
      </rPr>
      <t xml:space="preserve">STEP 2 - HOURS WORKED
</t>
    </r>
    <r>
      <rPr>
        <sz val="12"/>
        <color theme="1"/>
        <rFont val="Calibri"/>
        <family val="2"/>
        <scheme val="minor"/>
      </rPr>
      <t xml:space="preserve">Enter any hours worked during the pay period. The calculator will also track and calculate leave used and earned, simply enter starting balance to take advantage of these calculations. When entering a midnight shift the calculator expects the shift to be entered on the day it ENDS, and is programmed to calculate Night Differential and Sunday Premium Pay properly based on these inputs. 
</t>
    </r>
    <r>
      <rPr>
        <b/>
        <sz val="12"/>
        <color theme="1"/>
        <rFont val="Calibri"/>
        <family val="2"/>
        <scheme val="minor"/>
      </rPr>
      <t xml:space="preserve">STEP 3 - STATE TAXES
</t>
    </r>
    <r>
      <rPr>
        <sz val="12"/>
        <color theme="1"/>
        <rFont val="Calibri"/>
        <family val="2"/>
        <scheme val="minor"/>
      </rPr>
      <t xml:space="preserve">For members who work in states that withhold state income tax, STEP 3 contains detailed instructions for estimating the withholdings for state/county/local taxes.
</t>
    </r>
    <r>
      <rPr>
        <b/>
        <sz val="12"/>
        <color theme="1"/>
        <rFont val="Calibri"/>
        <family val="2"/>
        <scheme val="minor"/>
      </rPr>
      <t xml:space="preserve">LES SUMMARY
</t>
    </r>
    <r>
      <rPr>
        <sz val="12"/>
        <color theme="1"/>
        <rFont val="Calibri"/>
        <family val="2"/>
        <scheme val="minor"/>
      </rPr>
      <t xml:space="preserve">Contains a summary of all information entered into the calculator, in a similar format to an official LES.
For questions, to report a bug, or for the most recent version of the calculator please contact: </t>
    </r>
    <r>
      <rPr>
        <b/>
        <sz val="12"/>
        <color theme="1"/>
        <rFont val="Calibri"/>
        <family val="2"/>
        <scheme val="minor"/>
      </rPr>
      <t>paycalculator@natca.net</t>
    </r>
  </si>
  <si>
    <t>Association Dues - PAC</t>
  </si>
  <si>
    <t>Used</t>
  </si>
  <si>
    <t>Earned</t>
  </si>
  <si>
    <t xml:space="preserve">Select the year and pay period being calculated then enter actual start and end times for shifts worked. Midnight shifts are entered on the day the shift ENDS. Enter any leave used (Annual, Sick, Furlough, etc.) and any TOS (Overtime, Credit, etc.) for each day to automatically calculate differentials. </t>
  </si>
  <si>
    <t>Y</t>
  </si>
  <si>
    <t>AL</t>
  </si>
  <si>
    <t>SL</t>
  </si>
  <si>
    <t>Enter the state of residence</t>
  </si>
  <si>
    <t>Version History</t>
  </si>
  <si>
    <t>Widened column to display TOTAL DEDUCTIONS, some machines displayed as XXX.</t>
  </si>
  <si>
    <t>Fixed Night Differential calculation issue on STEP 2 when entering EARN CREDIT or LEAVE night differential was still added for the shift. Added version history</t>
  </si>
  <si>
    <t>Fixed calculation issue with CIP, deleting amounts from STEP 1, would create error on LES SUMMARY. Fixed calculation error where values where added instead of subtracted. Updated tax withholding to 2019 in pay period three instead of pay period one.</t>
  </si>
  <si>
    <t>Original version.</t>
  </si>
  <si>
    <r>
      <rPr>
        <b/>
        <sz val="12"/>
        <color theme="1"/>
        <rFont val="Calibri (Body)_x0000_"/>
      </rPr>
      <t>INSTRUCTIONS</t>
    </r>
    <r>
      <rPr>
        <sz val="11"/>
        <color theme="1"/>
        <rFont val="Calibri"/>
        <family val="2"/>
        <scheme val="minor"/>
      </rPr>
      <t xml:space="preserve">
Fill out grey boxes with information using recent Leave and Earnings Statements (LES). Congress passed and the President signed an appropriations bill granting 1.9% pay increase, retroactive to January 6, 2019. Upon receipt of pay period 5 LES return to this document to update the Annual Salary including the pay raise. Grey boxes are fillable and contain pop-up comments detailing the information required. Deductions for Health/Dental/Vision benefits and FSA/DCA are dependent on your elections and/or the market rate for those plans. New rates for Health/Dental/Vision benefits take effect in PP2 or 2019. You may use the links below to verify the amounts being withheld. New withholding amounts for FSA elections take effect in PP1 of 2019. Leave starting balances are not required to use the calculator, however if they are entered the LES Summary page will contain an accurate balance for each leave type.</t>
    </r>
  </si>
  <si>
    <t>Fixed FERS calculation to allow for number of hours worked less than 80.</t>
  </si>
  <si>
    <t>Updated 2/20/2019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</si>
</sst>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h:mm;@"/>
    <numFmt numFmtId="166" formatCode="dddd"/>
    <numFmt numFmtId="167" formatCode="[$-409]mmmm\ d\,\ yyyy;@"/>
    <numFmt numFmtId="168" formatCode="[h]:mm"/>
    <numFmt numFmtId="169" formatCode="_(&quot;$&quot;* #,##0.0000_);_(&quot;$&quot;* \(#,##0.0000\);_(&quot;$&quot;* &quot;-&quot;??_);_(@_)"/>
  </numFmts>
  <fonts count="32">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b/>
      <sz val="8"/>
      <color theme="1"/>
      <name val="Tahoma"/>
      <family val="2"/>
    </font>
    <font>
      <b/>
      <sz val="10"/>
      <color theme="0"/>
      <name val="Tahoma"/>
      <family val="2"/>
    </font>
    <font>
      <sz val="7"/>
      <color theme="1"/>
      <name val="Tahoma"/>
      <family val="2"/>
    </font>
    <font>
      <b/>
      <sz val="7"/>
      <color theme="1"/>
      <name val="Tahoma"/>
      <family val="2"/>
    </font>
    <font>
      <b/>
      <sz val="8"/>
      <color theme="0"/>
      <name val="Tahoma"/>
      <family val="2"/>
    </font>
    <font>
      <b/>
      <sz val="7"/>
      <color theme="0"/>
      <name val="Tahoma"/>
      <family val="2"/>
    </font>
    <font>
      <b/>
      <sz val="12"/>
      <color theme="1"/>
      <name val="Tahoma"/>
      <family val="2"/>
    </font>
    <font>
      <b/>
      <sz val="10"/>
      <color theme="1"/>
      <name val="Tahoma"/>
      <family val="2"/>
    </font>
    <font>
      <b/>
      <sz val="10"/>
      <name val="Tahoma"/>
      <family val="2"/>
    </font>
    <font>
      <sz val="10"/>
      <color theme="1"/>
      <name val="Tahoma"/>
      <family val="2"/>
    </font>
    <font>
      <b/>
      <sz val="11"/>
      <color theme="0"/>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b/>
      <sz val="10"/>
      <color theme="4" tint="-0.499984740745262"/>
      <name val="Calibri"/>
      <family val="2"/>
      <scheme val="minor"/>
    </font>
    <font>
      <sz val="10"/>
      <color theme="0" tint="-0.499984740745262"/>
      <name val="Calibri"/>
      <family val="2"/>
      <scheme val="minor"/>
    </font>
    <font>
      <sz val="10"/>
      <color rgb="FF0A0101"/>
      <name val="Calibri"/>
      <family val="2"/>
      <scheme val="minor"/>
    </font>
    <font>
      <sz val="10"/>
      <color theme="0" tint="-0.34998626667073579"/>
      <name val="Calibri"/>
      <family val="2"/>
      <scheme val="minor"/>
    </font>
    <font>
      <sz val="10"/>
      <color theme="0" tint="-0.249977111117893"/>
      <name val="Calibri"/>
      <family val="2"/>
      <scheme val="minor"/>
    </font>
    <font>
      <u/>
      <sz val="11"/>
      <color theme="10"/>
      <name val="Calibri"/>
      <family val="2"/>
      <scheme val="minor"/>
    </font>
    <font>
      <b/>
      <sz val="11"/>
      <color theme="4" tint="-0.249977111117893"/>
      <name val="Calibri"/>
      <family val="2"/>
      <scheme val="minor"/>
    </font>
    <font>
      <b/>
      <sz val="12"/>
      <color theme="1"/>
      <name val="Calibri (Body)_x0000_"/>
    </font>
    <font>
      <b/>
      <sz val="12"/>
      <color theme="1"/>
      <name val="Calibri"/>
      <family val="2"/>
      <scheme val="minor"/>
    </font>
    <font>
      <b/>
      <sz val="14"/>
      <color theme="0"/>
      <name val="Calibri"/>
      <family val="2"/>
      <scheme val="minor"/>
    </font>
    <font>
      <sz val="8"/>
      <color theme="1"/>
      <name val="Calibri"/>
      <family val="2"/>
      <scheme val="minor"/>
    </font>
    <font>
      <b/>
      <sz val="8"/>
      <color theme="1"/>
      <name val="Calibri"/>
      <family val="2"/>
      <scheme val="minor"/>
    </font>
  </fonts>
  <fills count="21">
    <fill>
      <patternFill patternType="none"/>
    </fill>
    <fill>
      <patternFill patternType="gray125"/>
    </fill>
    <fill>
      <patternFill patternType="solid">
        <fgColor theme="4" tint="0.59996337778862885"/>
        <bgColor indexed="64"/>
      </patternFill>
    </fill>
    <fill>
      <patternFill patternType="solid">
        <fgColor theme="4" tint="0.39994506668294322"/>
        <bgColor indexed="64"/>
      </patternFill>
    </fill>
    <fill>
      <patternFill patternType="solid">
        <fgColor theme="4" tint="-0.24994659260841701"/>
        <bgColor indexed="64"/>
      </patternFill>
    </fill>
    <fill>
      <patternFill patternType="solid">
        <fgColor theme="4" tint="-0.499984740745262"/>
        <bgColor indexed="64"/>
      </patternFill>
    </fill>
    <fill>
      <gradientFill degree="270">
        <stop position="0">
          <color theme="4" tint="0.59999389629810485"/>
        </stop>
        <stop position="1">
          <color theme="4" tint="0.40000610370189521"/>
        </stop>
      </gradientFill>
    </fill>
    <fill>
      <patternFill patternType="solid">
        <fgColor theme="6" tint="0.59996337778862885"/>
        <bgColor indexed="64"/>
      </patternFill>
    </fill>
    <fill>
      <patternFill patternType="solid">
        <fgColor theme="6" tint="-0.24994659260841701"/>
        <bgColor indexed="64"/>
      </patternFill>
    </fill>
    <fill>
      <gradientFill degree="270">
        <stop position="0">
          <color theme="6" tint="0.59999389629810485"/>
        </stop>
        <stop position="1">
          <color theme="6" tint="0.40000610370189521"/>
        </stop>
      </gradientFill>
    </fill>
    <fill>
      <patternFill patternType="solid">
        <fgColor theme="6" tint="0.39994506668294322"/>
        <bgColor indexed="64"/>
      </patternFill>
    </fill>
    <fill>
      <patternFill patternType="solid">
        <fgColor theme="3" tint="0.39994506668294322"/>
        <bgColor indexed="64"/>
      </patternFill>
    </fill>
    <fill>
      <patternFill patternType="solid">
        <fgColor theme="3" tint="0.59996337778862885"/>
        <bgColor indexed="64"/>
      </patternFill>
    </fill>
    <fill>
      <patternFill patternType="solid">
        <fgColor theme="4" tint="0.79998168889431442"/>
        <bgColor indexed="64"/>
      </patternFill>
    </fill>
    <fill>
      <gradientFill type="path" left="0.5" right="0.5" top="0.5" bottom="0.5">
        <stop position="0">
          <color theme="3" tint="0.80001220740379042"/>
        </stop>
        <stop position="1">
          <color theme="3" tint="0.59999389629810485"/>
        </stop>
      </gradient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auto="1"/>
      </left>
      <right/>
      <top style="thin">
        <color auto="1"/>
      </top>
      <bottom style="thin">
        <color auto="1"/>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medium">
        <color indexed="64"/>
      </left>
      <right style="thin">
        <color indexed="64"/>
      </right>
      <top/>
      <bottom style="medium">
        <color indexed="64"/>
      </bottom>
      <diagonal/>
    </border>
  </borders>
  <cellStyleXfs count="21">
    <xf numFmtId="0" fontId="0" fillId="0" borderId="0"/>
    <xf numFmtId="0" fontId="11" fillId="4" borderId="1" applyNumberFormat="0">
      <alignment horizontal="center" vertical="center"/>
    </xf>
    <xf numFmtId="0" fontId="9" fillId="3" borderId="1" applyNumberFormat="0">
      <alignment horizontal="left" vertical="center"/>
    </xf>
    <xf numFmtId="0" fontId="10" fillId="4" borderId="1" applyNumberFormat="0">
      <alignment horizontal="left" vertical="center"/>
    </xf>
    <xf numFmtId="164" fontId="8" fillId="2" borderId="1">
      <alignment horizontal="left" vertical="center"/>
    </xf>
    <xf numFmtId="0" fontId="7" fillId="5" borderId="1" applyNumberFormat="0">
      <alignment horizontal="center" vertical="center"/>
    </xf>
    <xf numFmtId="0" fontId="6" fillId="3" borderId="1" applyNumberFormat="0">
      <alignment horizontal="center" vertical="center"/>
    </xf>
    <xf numFmtId="164" fontId="9" fillId="6" borderId="1">
      <alignment horizontal="center" vertical="center"/>
    </xf>
    <xf numFmtId="0" fontId="8" fillId="7" borderId="1" applyNumberFormat="0">
      <alignment horizontal="left" vertical="center"/>
    </xf>
    <xf numFmtId="0" fontId="10" fillId="8" borderId="1" applyNumberFormat="0">
      <alignment horizontal="left" vertical="center"/>
    </xf>
    <xf numFmtId="0" fontId="9" fillId="9" borderId="1" applyNumberFormat="0">
      <alignment horizontal="center" vertical="top"/>
    </xf>
    <xf numFmtId="0" fontId="9" fillId="10" borderId="1" applyNumberFormat="0">
      <alignment horizontal="left" vertical="center"/>
    </xf>
    <xf numFmtId="0" fontId="12" fillId="11" borderId="3">
      <alignment horizontal="center" vertical="center"/>
    </xf>
    <xf numFmtId="164" fontId="13" fillId="2" borderId="3">
      <alignment horizontal="left" vertical="center"/>
    </xf>
    <xf numFmtId="164" fontId="14" fillId="2" borderId="3">
      <alignment horizontal="left" vertical="center"/>
    </xf>
    <xf numFmtId="164" fontId="13" fillId="12" borderId="3">
      <alignment horizontal="left" vertical="center"/>
    </xf>
    <xf numFmtId="164" fontId="15" fillId="13" borderId="3">
      <alignment horizontal="left" vertical="center"/>
    </xf>
    <xf numFmtId="164" fontId="14" fillId="14" borderId="3">
      <alignment horizontal="center" vertical="center"/>
    </xf>
    <xf numFmtId="44" fontId="3" fillId="0" borderId="0" applyFont="0" applyFill="0" applyBorder="0" applyAlignment="0" applyProtection="0"/>
    <xf numFmtId="9" fontId="3" fillId="0" borderId="0" applyFont="0" applyFill="0" applyBorder="0" applyAlignment="0" applyProtection="0"/>
    <xf numFmtId="0" fontId="25" fillId="0" borderId="0" applyNumberFormat="0" applyFill="0" applyBorder="0" applyAlignment="0" applyProtection="0"/>
  </cellStyleXfs>
  <cellXfs count="316">
    <xf numFmtId="0" fontId="0" fillId="0" borderId="0" xfId="0"/>
    <xf numFmtId="0" fontId="0" fillId="0" borderId="0" xfId="0" applyAlignment="1">
      <alignment horizontal="center"/>
    </xf>
    <xf numFmtId="0" fontId="0" fillId="0" borderId="0" xfId="0"/>
    <xf numFmtId="0" fontId="0" fillId="0" borderId="0" xfId="0" applyAlignment="1">
      <alignment horizontal="left"/>
    </xf>
    <xf numFmtId="165" fontId="0" fillId="0" borderId="0" xfId="0" applyNumberFormat="1" applyAlignment="1">
      <alignment horizontal="center"/>
    </xf>
    <xf numFmtId="0" fontId="5" fillId="0" borderId="0" xfId="0" applyFont="1" applyAlignment="1">
      <alignment horizontal="center"/>
    </xf>
    <xf numFmtId="165" fontId="5" fillId="0" borderId="0" xfId="0" applyNumberFormat="1" applyFont="1" applyAlignment="1">
      <alignment horizontal="center"/>
    </xf>
    <xf numFmtId="0" fontId="5" fillId="0" borderId="0" xfId="0" applyFont="1" applyFill="1" applyBorder="1" applyAlignment="1">
      <alignment horizontal="center"/>
    </xf>
    <xf numFmtId="0" fontId="16" fillId="15" borderId="0" xfId="0" applyFont="1" applyFill="1" applyAlignment="1">
      <alignment horizontal="center"/>
    </xf>
    <xf numFmtId="0" fontId="16" fillId="15" borderId="0" xfId="0" applyFont="1" applyFill="1" applyBorder="1" applyAlignment="1">
      <alignment horizontal="center"/>
    </xf>
    <xf numFmtId="0" fontId="0" fillId="0" borderId="1" xfId="0" applyBorder="1" applyAlignment="1">
      <alignment horizontal="center"/>
    </xf>
    <xf numFmtId="9" fontId="0" fillId="0" borderId="1" xfId="19" applyFont="1" applyBorder="1" applyAlignment="1">
      <alignment horizontal="center"/>
    </xf>
    <xf numFmtId="44" fontId="0" fillId="0" borderId="0" xfId="18" applyFont="1"/>
    <xf numFmtId="44" fontId="0" fillId="0" borderId="0" xfId="18" applyFont="1" applyAlignment="1">
      <alignment horizontal="center"/>
    </xf>
    <xf numFmtId="44" fontId="0" fillId="0" borderId="0" xfId="0" applyNumberFormat="1"/>
    <xf numFmtId="10" fontId="0" fillId="0" borderId="0" xfId="19" applyNumberFormat="1" applyFont="1" applyAlignment="1">
      <alignment horizontal="center"/>
    </xf>
    <xf numFmtId="44" fontId="0" fillId="0" borderId="0" xfId="0" applyNumberFormat="1" applyAlignment="1">
      <alignment horizontal="center"/>
    </xf>
    <xf numFmtId="0" fontId="4" fillId="15" borderId="1" xfId="0" applyFont="1" applyFill="1" applyBorder="1" applyAlignment="1">
      <alignment horizontal="center"/>
    </xf>
    <xf numFmtId="1" fontId="4" fillId="15" borderId="1" xfId="0" applyNumberFormat="1" applyFont="1" applyFill="1" applyBorder="1" applyAlignment="1">
      <alignment horizontal="center"/>
    </xf>
    <xf numFmtId="1" fontId="0" fillId="0" borderId="1" xfId="0" applyNumberFormat="1" applyBorder="1" applyAlignment="1">
      <alignment horizontal="center"/>
    </xf>
    <xf numFmtId="0" fontId="4" fillId="15" borderId="7" xfId="0" applyFont="1" applyFill="1" applyBorder="1" applyAlignment="1">
      <alignment horizontal="center"/>
    </xf>
    <xf numFmtId="0" fontId="4" fillId="15" borderId="8" xfId="0" applyFont="1" applyFill="1" applyBorder="1" applyAlignment="1">
      <alignment horizontal="center"/>
    </xf>
    <xf numFmtId="1" fontId="0" fillId="0" borderId="7" xfId="0" applyNumberFormat="1" applyBorder="1" applyAlignment="1">
      <alignment horizontal="center"/>
    </xf>
    <xf numFmtId="44" fontId="0" fillId="0" borderId="8" xfId="18" applyFont="1" applyBorder="1"/>
    <xf numFmtId="1" fontId="0" fillId="0" borderId="9" xfId="0" applyNumberFormat="1" applyBorder="1" applyAlignment="1">
      <alignment horizontal="center"/>
    </xf>
    <xf numFmtId="0" fontId="0" fillId="0" borderId="10" xfId="0" applyBorder="1" applyAlignment="1">
      <alignment horizontal="center"/>
    </xf>
    <xf numFmtId="9" fontId="0" fillId="0" borderId="10" xfId="19" applyFont="1" applyBorder="1" applyAlignment="1">
      <alignment horizontal="center"/>
    </xf>
    <xf numFmtId="44" fontId="0" fillId="0" borderId="11" xfId="18" applyFont="1" applyBorder="1"/>
    <xf numFmtId="0" fontId="5" fillId="0" borderId="0" xfId="0" applyFont="1" applyAlignment="1" applyProtection="1"/>
    <xf numFmtId="2" fontId="0" fillId="0" borderId="0" xfId="0" applyNumberFormat="1" applyProtection="1"/>
    <xf numFmtId="165" fontId="16" fillId="15" borderId="0" xfId="0" applyNumberFormat="1" applyFont="1" applyFill="1" applyProtection="1"/>
    <xf numFmtId="44" fontId="0" fillId="0" borderId="0" xfId="18" applyFont="1" applyAlignment="1">
      <alignment horizontal="center"/>
    </xf>
    <xf numFmtId="0" fontId="17" fillId="0" borderId="0" xfId="0" applyFont="1"/>
    <xf numFmtId="0" fontId="17" fillId="0" borderId="0" xfId="0" applyFont="1" applyAlignment="1">
      <alignment horizontal="left"/>
    </xf>
    <xf numFmtId="44" fontId="17" fillId="0" borderId="0" xfId="18" applyFont="1" applyAlignment="1">
      <alignment horizontal="center"/>
    </xf>
    <xf numFmtId="0" fontId="19" fillId="0" borderId="19" xfId="0" applyFont="1" applyBorder="1"/>
    <xf numFmtId="0" fontId="19" fillId="0" borderId="7" xfId="0" applyFont="1" applyBorder="1"/>
    <xf numFmtId="44" fontId="17" fillId="0" borderId="8" xfId="18" applyFont="1" applyFill="1" applyBorder="1" applyAlignment="1" applyProtection="1">
      <alignment horizontal="center"/>
    </xf>
    <xf numFmtId="0" fontId="17" fillId="0" borderId="25" xfId="0" applyFont="1" applyBorder="1"/>
    <xf numFmtId="168" fontId="17" fillId="0" borderId="1" xfId="0" applyNumberFormat="1" applyFont="1" applyBorder="1" applyAlignment="1">
      <alignment horizontal="center"/>
    </xf>
    <xf numFmtId="44" fontId="17" fillId="0" borderId="8" xfId="18" applyFont="1" applyBorder="1" applyAlignment="1">
      <alignment horizontal="center"/>
    </xf>
    <xf numFmtId="0" fontId="17" fillId="19" borderId="7" xfId="0" applyFont="1" applyFill="1" applyBorder="1" applyAlignment="1">
      <alignment horizontal="left"/>
    </xf>
    <xf numFmtId="44" fontId="17" fillId="18" borderId="8" xfId="18" applyFont="1" applyFill="1" applyBorder="1" applyAlignment="1" applyProtection="1">
      <alignment horizontal="center"/>
      <protection locked="0"/>
    </xf>
    <xf numFmtId="0" fontId="19" fillId="0" borderId="7" xfId="0" applyFont="1" applyBorder="1" applyAlignment="1">
      <alignment horizontal="left"/>
    </xf>
    <xf numFmtId="0" fontId="19" fillId="0" borderId="9" xfId="0" applyFont="1" applyBorder="1" applyAlignment="1">
      <alignment horizontal="left"/>
    </xf>
    <xf numFmtId="0" fontId="17" fillId="0" borderId="7" xfId="0" applyFont="1" applyBorder="1"/>
    <xf numFmtId="0" fontId="17" fillId="0" borderId="25" xfId="0" applyFont="1" applyFill="1" applyBorder="1"/>
    <xf numFmtId="44" fontId="17" fillId="0" borderId="8" xfId="18" applyFont="1" applyBorder="1" applyAlignment="1">
      <alignment horizontal="center" wrapText="1"/>
    </xf>
    <xf numFmtId="0" fontId="19" fillId="0" borderId="19" xfId="0" applyFont="1" applyBorder="1" applyAlignment="1">
      <alignment horizontal="left"/>
    </xf>
    <xf numFmtId="0" fontId="17" fillId="0" borderId="1" xfId="0" applyFont="1" applyBorder="1"/>
    <xf numFmtId="0" fontId="17" fillId="0" borderId="8" xfId="0" applyFont="1" applyBorder="1" applyAlignment="1">
      <alignment horizontal="center"/>
    </xf>
    <xf numFmtId="168" fontId="19" fillId="0" borderId="0" xfId="0" applyNumberFormat="1" applyFont="1" applyBorder="1" applyAlignment="1" applyProtection="1">
      <alignment horizontal="center"/>
    </xf>
    <xf numFmtId="0" fontId="19" fillId="0" borderId="7" xfId="0" applyFont="1" applyFill="1" applyBorder="1" applyAlignment="1">
      <alignment horizontal="left"/>
    </xf>
    <xf numFmtId="0" fontId="17" fillId="0" borderId="7" xfId="0" applyFont="1" applyBorder="1" applyAlignment="1" applyProtection="1">
      <alignment horizontal="left"/>
    </xf>
    <xf numFmtId="0" fontId="22" fillId="0" borderId="1" xfId="0" applyFont="1" applyBorder="1" applyAlignment="1" applyProtection="1">
      <alignment horizontal="center"/>
    </xf>
    <xf numFmtId="168" fontId="19" fillId="0" borderId="8" xfId="0" applyNumberFormat="1" applyFont="1" applyBorder="1" applyAlignment="1" applyProtection="1">
      <alignment horizontal="center"/>
    </xf>
    <xf numFmtId="44" fontId="19" fillId="17" borderId="22" xfId="18" applyFont="1" applyFill="1" applyBorder="1" applyAlignment="1">
      <alignment horizontal="center"/>
    </xf>
    <xf numFmtId="20" fontId="17" fillId="0" borderId="1" xfId="0" applyNumberFormat="1" applyFont="1" applyBorder="1" applyAlignment="1" applyProtection="1">
      <alignment horizontal="center"/>
    </xf>
    <xf numFmtId="0" fontId="17" fillId="0" borderId="9" xfId="0" applyFont="1" applyBorder="1" applyAlignment="1" applyProtection="1">
      <alignment horizontal="left"/>
    </xf>
    <xf numFmtId="20" fontId="17" fillId="0" borderId="10" xfId="0" applyNumberFormat="1" applyFont="1" applyBorder="1" applyAlignment="1" applyProtection="1">
      <alignment horizontal="center"/>
    </xf>
    <xf numFmtId="168" fontId="19" fillId="0" borderId="11" xfId="0" applyNumberFormat="1" applyFont="1" applyBorder="1" applyAlignment="1" applyProtection="1">
      <alignment horizontal="center"/>
    </xf>
    <xf numFmtId="44" fontId="19" fillId="17" borderId="8" xfId="0" applyNumberFormat="1" applyFont="1" applyFill="1" applyBorder="1" applyAlignment="1"/>
    <xf numFmtId="0" fontId="17" fillId="0" borderId="25" xfId="0" applyFont="1" applyBorder="1" applyAlignment="1"/>
    <xf numFmtId="44" fontId="17" fillId="0" borderId="8" xfId="0" applyNumberFormat="1" applyFont="1" applyBorder="1" applyAlignment="1">
      <alignment horizontal="center"/>
    </xf>
    <xf numFmtId="0" fontId="17" fillId="0" borderId="7" xfId="0" applyFont="1" applyBorder="1" applyAlignment="1">
      <alignment horizontal="left"/>
    </xf>
    <xf numFmtId="44" fontId="17" fillId="0" borderId="11" xfId="18" applyFont="1" applyBorder="1" applyAlignment="1">
      <alignment horizontal="center"/>
    </xf>
    <xf numFmtId="0" fontId="17" fillId="0" borderId="9" xfId="0" applyFont="1" applyBorder="1" applyAlignment="1">
      <alignment horizontal="left"/>
    </xf>
    <xf numFmtId="44" fontId="19" fillId="17" borderId="14" xfId="18" applyFont="1" applyFill="1" applyBorder="1" applyAlignment="1">
      <alignment horizontal="center"/>
    </xf>
    <xf numFmtId="0" fontId="19" fillId="17" borderId="1" xfId="0" applyFont="1" applyFill="1" applyBorder="1" applyAlignment="1">
      <alignment horizontal="center"/>
    </xf>
    <xf numFmtId="0" fontId="19" fillId="17" borderId="8" xfId="0" applyFont="1" applyFill="1" applyBorder="1" applyAlignment="1">
      <alignment horizontal="center"/>
    </xf>
    <xf numFmtId="0" fontId="17" fillId="17" borderId="33" xfId="0" applyFont="1" applyFill="1" applyBorder="1"/>
    <xf numFmtId="0" fontId="17" fillId="17" borderId="2" xfId="0" applyFont="1" applyFill="1" applyBorder="1"/>
    <xf numFmtId="0" fontId="17" fillId="17" borderId="25" xfId="0" applyFont="1" applyFill="1" applyBorder="1"/>
    <xf numFmtId="0" fontId="17" fillId="17" borderId="27" xfId="0" applyFont="1" applyFill="1" applyBorder="1"/>
    <xf numFmtId="0" fontId="17" fillId="17" borderId="34" xfId="0" applyFont="1" applyFill="1" applyBorder="1"/>
    <xf numFmtId="0" fontId="17" fillId="17" borderId="28" xfId="0" applyFont="1" applyFill="1" applyBorder="1"/>
    <xf numFmtId="0" fontId="18" fillId="15" borderId="31" xfId="0" applyFont="1" applyFill="1" applyBorder="1" applyAlignment="1">
      <alignment horizontal="right"/>
    </xf>
    <xf numFmtId="0" fontId="17" fillId="0" borderId="33" xfId="0" applyFont="1" applyBorder="1" applyAlignment="1"/>
    <xf numFmtId="0" fontId="17" fillId="0" borderId="33" xfId="0" applyFont="1" applyBorder="1"/>
    <xf numFmtId="0" fontId="17" fillId="0" borderId="33" xfId="0" applyFont="1" applyFill="1" applyBorder="1"/>
    <xf numFmtId="165" fontId="23" fillId="0" borderId="1" xfId="0" applyNumberFormat="1" applyFont="1" applyFill="1" applyBorder="1" applyAlignment="1" applyProtection="1">
      <alignment horizontal="center"/>
    </xf>
    <xf numFmtId="165" fontId="23" fillId="0" borderId="10" xfId="0" applyNumberFormat="1" applyFont="1" applyFill="1" applyBorder="1" applyAlignment="1" applyProtection="1">
      <alignment horizontal="center"/>
    </xf>
    <xf numFmtId="0" fontId="17" fillId="0" borderId="0" xfId="0" applyFont="1" applyProtection="1"/>
    <xf numFmtId="0" fontId="17" fillId="0" borderId="0" xfId="0" applyFont="1" applyAlignment="1" applyProtection="1">
      <alignment horizontal="left"/>
    </xf>
    <xf numFmtId="165" fontId="17" fillId="0" borderId="0" xfId="0" applyNumberFormat="1" applyFont="1" applyProtection="1"/>
    <xf numFmtId="0" fontId="24" fillId="0" borderId="0" xfId="0" applyFont="1" applyProtection="1"/>
    <xf numFmtId="0" fontId="17" fillId="0" borderId="0" xfId="0" applyFont="1" applyAlignment="1" applyProtection="1">
      <alignment horizontal="center"/>
    </xf>
    <xf numFmtId="0" fontId="19" fillId="0" borderId="7" xfId="0" applyFont="1" applyFill="1" applyBorder="1"/>
    <xf numFmtId="0" fontId="19" fillId="0" borderId="9" xfId="0" applyFont="1" applyFill="1" applyBorder="1"/>
    <xf numFmtId="0" fontId="17" fillId="0" borderId="0" xfId="0" applyFont="1" applyFill="1" applyBorder="1" applyAlignment="1" applyProtection="1">
      <alignment horizontal="center"/>
    </xf>
    <xf numFmtId="0" fontId="18" fillId="15" borderId="10" xfId="0" applyFont="1" applyFill="1" applyBorder="1" applyAlignment="1" applyProtection="1">
      <alignment horizontal="center" vertical="center"/>
    </xf>
    <xf numFmtId="165" fontId="18" fillId="15" borderId="10" xfId="0" applyNumberFormat="1" applyFont="1" applyFill="1" applyBorder="1" applyAlignment="1" applyProtection="1">
      <alignment horizontal="center" vertical="center"/>
    </xf>
    <xf numFmtId="165" fontId="18" fillId="15" borderId="11" xfId="0" applyNumberFormat="1" applyFont="1" applyFill="1" applyBorder="1" applyAlignment="1" applyProtection="1">
      <alignment horizontal="center" vertical="center"/>
    </xf>
    <xf numFmtId="166" fontId="17" fillId="0" borderId="12" xfId="0" applyNumberFormat="1" applyFont="1" applyBorder="1" applyAlignment="1" applyProtection="1">
      <alignment horizontal="left"/>
    </xf>
    <xf numFmtId="167" fontId="17" fillId="0" borderId="4" xfId="0" applyNumberFormat="1" applyFont="1" applyBorder="1" applyAlignment="1" applyProtection="1">
      <alignment horizontal="left" vertical="center"/>
    </xf>
    <xf numFmtId="168" fontId="17" fillId="0" borderId="4" xfId="0" applyNumberFormat="1" applyFont="1" applyFill="1" applyBorder="1" applyAlignment="1" applyProtection="1">
      <alignment horizontal="center" vertical="center"/>
    </xf>
    <xf numFmtId="168" fontId="17" fillId="0" borderId="13" xfId="0" applyNumberFormat="1" applyFont="1" applyFill="1" applyBorder="1" applyAlignment="1" applyProtection="1">
      <alignment horizontal="center" vertical="center"/>
    </xf>
    <xf numFmtId="165" fontId="24" fillId="0" borderId="2" xfId="0" applyNumberFormat="1" applyFont="1" applyBorder="1" applyAlignment="1" applyProtection="1">
      <alignment horizontal="center"/>
    </xf>
    <xf numFmtId="168" fontId="24" fillId="0" borderId="1" xfId="0" applyNumberFormat="1" applyFont="1" applyFill="1" applyBorder="1" applyAlignment="1" applyProtection="1">
      <alignment horizontal="center" vertical="center"/>
    </xf>
    <xf numFmtId="166" fontId="17" fillId="0" borderId="7" xfId="0" applyNumberFormat="1" applyFont="1" applyBorder="1" applyAlignment="1" applyProtection="1">
      <alignment horizontal="left"/>
    </xf>
    <xf numFmtId="167" fontId="17" fillId="0" borderId="1" xfId="0" applyNumberFormat="1" applyFont="1" applyBorder="1" applyAlignment="1" applyProtection="1">
      <alignment horizontal="left" vertical="center"/>
    </xf>
    <xf numFmtId="168" fontId="17" fillId="0" borderId="1" xfId="0" applyNumberFormat="1" applyFont="1" applyFill="1" applyBorder="1" applyAlignment="1" applyProtection="1">
      <alignment horizontal="center" vertical="center"/>
    </xf>
    <xf numFmtId="168" fontId="17" fillId="0" borderId="8" xfId="0" applyNumberFormat="1" applyFont="1" applyFill="1" applyBorder="1" applyAlignment="1" applyProtection="1">
      <alignment horizontal="center" vertical="center"/>
    </xf>
    <xf numFmtId="166" fontId="17" fillId="0" borderId="9" xfId="0" applyNumberFormat="1" applyFont="1" applyBorder="1" applyAlignment="1" applyProtection="1">
      <alignment horizontal="left"/>
    </xf>
    <xf numFmtId="167" fontId="17" fillId="0" borderId="10" xfId="0" applyNumberFormat="1" applyFont="1" applyBorder="1" applyAlignment="1" applyProtection="1">
      <alignment horizontal="left" vertical="center"/>
    </xf>
    <xf numFmtId="168" fontId="17" fillId="0" borderId="10" xfId="0" applyNumberFormat="1" applyFont="1" applyFill="1" applyBorder="1" applyAlignment="1" applyProtection="1">
      <alignment horizontal="center" vertical="center"/>
    </xf>
    <xf numFmtId="168" fontId="17" fillId="0" borderId="11" xfId="0" applyNumberFormat="1" applyFont="1" applyFill="1" applyBorder="1" applyAlignment="1" applyProtection="1">
      <alignment horizontal="center" vertical="center"/>
    </xf>
    <xf numFmtId="0" fontId="17" fillId="0" borderId="0" xfId="0" applyFont="1" applyAlignment="1" applyProtection="1">
      <alignment horizontal="left" vertical="center"/>
    </xf>
    <xf numFmtId="0" fontId="17" fillId="0" borderId="7" xfId="0" applyFont="1" applyBorder="1" applyProtection="1"/>
    <xf numFmtId="0" fontId="17" fillId="0" borderId="7" xfId="0" applyFont="1" applyFill="1" applyBorder="1" applyAlignment="1" applyProtection="1">
      <alignment horizontal="left"/>
    </xf>
    <xf numFmtId="0" fontId="24" fillId="0" borderId="0" xfId="0" applyFont="1" applyAlignment="1" applyProtection="1">
      <alignment horizontal="center"/>
    </xf>
    <xf numFmtId="0" fontId="17" fillId="0" borderId="25" xfId="0" applyFont="1" applyBorder="1" applyProtection="1"/>
    <xf numFmtId="0" fontId="17" fillId="0" borderId="27" xfId="0" applyFont="1" applyBorder="1" applyProtection="1"/>
    <xf numFmtId="44" fontId="19" fillId="0" borderId="8" xfId="18" applyFont="1" applyBorder="1"/>
    <xf numFmtId="44" fontId="19" fillId="0" borderId="11" xfId="18" applyFont="1" applyBorder="1"/>
    <xf numFmtId="0" fontId="25" fillId="0" borderId="0" xfId="20"/>
    <xf numFmtId="0" fontId="5" fillId="0" borderId="0" xfId="0" applyFont="1"/>
    <xf numFmtId="0" fontId="26" fillId="0" borderId="0" xfId="0" applyFont="1" applyAlignment="1">
      <alignment horizontal="center"/>
    </xf>
    <xf numFmtId="0" fontId="26" fillId="0" borderId="0" xfId="0" applyFont="1" applyAlignment="1">
      <alignment horizontal="center" vertical="center"/>
    </xf>
    <xf numFmtId="0" fontId="18" fillId="15" borderId="9" xfId="0" applyFont="1" applyFill="1" applyBorder="1" applyAlignment="1">
      <alignment horizontal="right"/>
    </xf>
    <xf numFmtId="44" fontId="17" fillId="19" borderId="11" xfId="18" applyFont="1" applyFill="1" applyBorder="1" applyAlignment="1" applyProtection="1">
      <alignment horizontal="center"/>
    </xf>
    <xf numFmtId="0" fontId="0" fillId="0" borderId="0" xfId="0" applyAlignment="1">
      <alignment vertical="top"/>
    </xf>
    <xf numFmtId="0" fontId="25" fillId="0" borderId="0" xfId="20" applyAlignment="1">
      <alignment vertical="top"/>
    </xf>
    <xf numFmtId="0" fontId="0" fillId="0" borderId="0" xfId="0" applyAlignment="1">
      <alignment horizontal="right"/>
    </xf>
    <xf numFmtId="0" fontId="0" fillId="0" borderId="0" xfId="0" applyAlignment="1">
      <alignment horizontal="right" vertical="top"/>
    </xf>
    <xf numFmtId="0" fontId="19" fillId="17" borderId="1" xfId="0" applyFont="1" applyFill="1" applyBorder="1" applyAlignment="1" applyProtection="1">
      <alignment horizontal="center"/>
    </xf>
    <xf numFmtId="165" fontId="19" fillId="17" borderId="1" xfId="0" applyNumberFormat="1" applyFont="1" applyFill="1" applyBorder="1" applyAlignment="1" applyProtection="1">
      <alignment horizontal="center"/>
    </xf>
    <xf numFmtId="0" fontId="19" fillId="17" borderId="7" xfId="0" applyFont="1" applyFill="1" applyBorder="1" applyAlignment="1" applyProtection="1">
      <alignment horizontal="left"/>
    </xf>
    <xf numFmtId="165" fontId="19" fillId="17" borderId="8" xfId="0" applyNumberFormat="1" applyFont="1" applyFill="1" applyBorder="1" applyAlignment="1" applyProtection="1">
      <alignment horizontal="center"/>
    </xf>
    <xf numFmtId="0" fontId="16" fillId="15" borderId="0" xfId="0" applyFont="1" applyFill="1" applyAlignment="1">
      <alignment horizontal="center"/>
    </xf>
    <xf numFmtId="0" fontId="17" fillId="20" borderId="6" xfId="0" applyFont="1" applyFill="1" applyBorder="1" applyAlignment="1" applyProtection="1">
      <alignment horizontal="center"/>
      <protection locked="0"/>
    </xf>
    <xf numFmtId="44" fontId="17" fillId="20" borderId="8" xfId="18" applyFont="1" applyFill="1" applyBorder="1" applyAlignment="1" applyProtection="1">
      <alignment horizontal="center"/>
      <protection locked="0"/>
    </xf>
    <xf numFmtId="1" fontId="17" fillId="20" borderId="8" xfId="0" applyNumberFormat="1" applyFont="1" applyFill="1" applyBorder="1" applyAlignment="1" applyProtection="1">
      <alignment horizontal="center"/>
      <protection locked="0"/>
    </xf>
    <xf numFmtId="10" fontId="17" fillId="20" borderId="11" xfId="19" applyNumberFormat="1" applyFont="1" applyFill="1" applyBorder="1" applyAlignment="1" applyProtection="1">
      <alignment horizontal="center"/>
      <protection locked="0"/>
    </xf>
    <xf numFmtId="1" fontId="17" fillId="20" borderId="6" xfId="0" applyNumberFormat="1" applyFont="1" applyFill="1" applyBorder="1" applyAlignment="1" applyProtection="1">
      <alignment horizontal="center"/>
      <protection locked="0"/>
    </xf>
    <xf numFmtId="44" fontId="17" fillId="20" borderId="11" xfId="18" applyFont="1" applyFill="1" applyBorder="1" applyAlignment="1" applyProtection="1">
      <alignment horizontal="center"/>
      <protection locked="0"/>
    </xf>
    <xf numFmtId="0" fontId="17" fillId="20" borderId="7" xfId="0" applyFont="1" applyFill="1" applyBorder="1" applyProtection="1">
      <protection locked="0"/>
    </xf>
    <xf numFmtId="9" fontId="17" fillId="20" borderId="1" xfId="19" applyFont="1" applyFill="1" applyBorder="1" applyAlignment="1" applyProtection="1">
      <alignment horizontal="center"/>
      <protection locked="0"/>
    </xf>
    <xf numFmtId="44" fontId="17" fillId="20" borderId="1" xfId="18" applyFont="1" applyFill="1" applyBorder="1" applyAlignment="1" applyProtection="1">
      <alignment horizontal="center"/>
      <protection locked="0"/>
    </xf>
    <xf numFmtId="0" fontId="17" fillId="20" borderId="9" xfId="0" applyFont="1" applyFill="1" applyBorder="1" applyProtection="1">
      <protection locked="0"/>
    </xf>
    <xf numFmtId="9" fontId="17" fillId="20" borderId="10" xfId="19" applyFont="1" applyFill="1" applyBorder="1" applyAlignment="1" applyProtection="1">
      <alignment horizontal="center"/>
      <protection locked="0"/>
    </xf>
    <xf numFmtId="44" fontId="17" fillId="20" borderId="1" xfId="18" applyFont="1" applyFill="1" applyBorder="1" applyProtection="1">
      <protection locked="0"/>
    </xf>
    <xf numFmtId="0" fontId="17" fillId="20" borderId="7" xfId="0" applyFont="1" applyFill="1" applyBorder="1" applyAlignment="1" applyProtection="1">
      <alignment horizontal="left"/>
      <protection locked="0"/>
    </xf>
    <xf numFmtId="0" fontId="17" fillId="20" borderId="1" xfId="0" applyFont="1" applyFill="1" applyBorder="1" applyProtection="1">
      <protection locked="0"/>
    </xf>
    <xf numFmtId="0" fontId="17" fillId="20" borderId="1" xfId="0" applyFont="1" applyFill="1" applyBorder="1" applyAlignment="1" applyProtection="1">
      <alignment horizontal="center" vertical="center"/>
      <protection locked="0"/>
    </xf>
    <xf numFmtId="165" fontId="17" fillId="20" borderId="1" xfId="0" applyNumberFormat="1" applyFont="1" applyFill="1" applyBorder="1" applyAlignment="1" applyProtection="1">
      <alignment horizontal="center" vertical="center"/>
      <protection locked="0"/>
    </xf>
    <xf numFmtId="0" fontId="17" fillId="20" borderId="10" xfId="0" applyFont="1" applyFill="1" applyBorder="1" applyAlignment="1" applyProtection="1">
      <alignment horizontal="center" vertical="center"/>
      <protection locked="0"/>
    </xf>
    <xf numFmtId="165" fontId="17" fillId="20" borderId="10" xfId="0" applyNumberFormat="1" applyFont="1" applyFill="1" applyBorder="1" applyAlignment="1" applyProtection="1">
      <alignment horizontal="center" vertical="center"/>
      <protection locked="0"/>
    </xf>
    <xf numFmtId="0" fontId="17" fillId="20" borderId="4" xfId="0" applyFont="1" applyFill="1" applyBorder="1" applyAlignment="1" applyProtection="1">
      <alignment horizontal="center" vertical="center"/>
      <protection locked="0"/>
    </xf>
    <xf numFmtId="165" fontId="17" fillId="20" borderId="4" xfId="0" applyNumberFormat="1" applyFont="1" applyFill="1" applyBorder="1" applyAlignment="1" applyProtection="1">
      <alignment horizontal="center" vertical="center"/>
      <protection locked="0"/>
    </xf>
    <xf numFmtId="165" fontId="17" fillId="20" borderId="1" xfId="0" applyNumberFormat="1" applyFont="1" applyFill="1" applyBorder="1" applyAlignment="1" applyProtection="1">
      <alignment horizontal="center"/>
      <protection locked="0"/>
    </xf>
    <xf numFmtId="165" fontId="17" fillId="20" borderId="10" xfId="0" applyNumberFormat="1" applyFont="1" applyFill="1" applyBorder="1" applyAlignment="1" applyProtection="1">
      <alignment horizontal="center"/>
      <protection locked="0"/>
    </xf>
    <xf numFmtId="168" fontId="17" fillId="20" borderId="8" xfId="0" applyNumberFormat="1" applyFont="1" applyFill="1" applyBorder="1" applyAlignment="1" applyProtection="1">
      <alignment horizontal="center"/>
      <protection locked="0"/>
    </xf>
    <xf numFmtId="0" fontId="17" fillId="20" borderId="8" xfId="0" applyFont="1" applyFill="1" applyBorder="1" applyAlignment="1" applyProtection="1">
      <alignment horizontal="center"/>
      <protection locked="0"/>
    </xf>
    <xf numFmtId="168" fontId="17" fillId="20" borderId="11" xfId="0" applyNumberFormat="1" applyFont="1" applyFill="1" applyBorder="1" applyAlignment="1" applyProtection="1">
      <alignment horizontal="center"/>
      <protection locked="0"/>
    </xf>
    <xf numFmtId="20" fontId="17" fillId="20" borderId="11" xfId="0" applyNumberFormat="1" applyFont="1" applyFill="1" applyBorder="1" applyAlignment="1" applyProtection="1">
      <alignment horizontal="center"/>
      <protection locked="0"/>
    </xf>
    <xf numFmtId="0" fontId="19" fillId="0" borderId="0" xfId="0" applyFont="1" applyAlignment="1" applyProtection="1">
      <alignment horizontal="right"/>
    </xf>
    <xf numFmtId="0" fontId="17" fillId="0" borderId="27" xfId="0" applyFont="1" applyBorder="1"/>
    <xf numFmtId="0" fontId="0" fillId="0" borderId="33" xfId="0" applyBorder="1"/>
    <xf numFmtId="0" fontId="0" fillId="0" borderId="34" xfId="0" applyBorder="1"/>
    <xf numFmtId="14" fontId="0" fillId="0" borderId="0" xfId="0" applyNumberFormat="1" applyAlignment="1">
      <alignment horizontal="center"/>
    </xf>
    <xf numFmtId="0" fontId="17" fillId="20" borderId="8" xfId="0" applyNumberFormat="1" applyFont="1" applyFill="1" applyBorder="1" applyAlignment="1" applyProtection="1">
      <alignment horizontal="center"/>
      <protection locked="0"/>
    </xf>
    <xf numFmtId="0" fontId="17" fillId="20" borderId="11" xfId="0" applyNumberFormat="1" applyFont="1" applyFill="1" applyBorder="1" applyAlignment="1" applyProtection="1">
      <alignment horizontal="center"/>
      <protection locked="0"/>
    </xf>
    <xf numFmtId="0" fontId="0" fillId="0" borderId="0" xfId="0" applyNumberFormat="1" applyAlignment="1">
      <alignment horizontal="center"/>
    </xf>
    <xf numFmtId="0" fontId="0" fillId="0" borderId="23" xfId="0" applyNumberFormat="1" applyBorder="1" applyAlignment="1">
      <alignment horizontal="center"/>
    </xf>
    <xf numFmtId="14" fontId="0" fillId="0" borderId="0" xfId="0" applyNumberFormat="1" applyBorder="1" applyAlignment="1">
      <alignment horizontal="left"/>
    </xf>
    <xf numFmtId="1" fontId="0" fillId="0" borderId="38" xfId="0" applyNumberFormat="1" applyBorder="1" applyAlignment="1">
      <alignment horizontal="left"/>
    </xf>
    <xf numFmtId="0" fontId="0" fillId="0" borderId="0" xfId="0" applyBorder="1" applyAlignment="1">
      <alignment horizontal="left"/>
    </xf>
    <xf numFmtId="0" fontId="0" fillId="0" borderId="38" xfId="0" applyBorder="1" applyAlignment="1">
      <alignment horizontal="left"/>
    </xf>
    <xf numFmtId="0" fontId="0" fillId="0" borderId="16" xfId="0" applyNumberFormat="1" applyBorder="1" applyAlignment="1">
      <alignment horizontal="center"/>
    </xf>
    <xf numFmtId="0" fontId="0" fillId="0" borderId="39" xfId="0" applyBorder="1" applyAlignment="1">
      <alignment horizontal="left"/>
    </xf>
    <xf numFmtId="0" fontId="0" fillId="0" borderId="40" xfId="0" applyBorder="1" applyAlignment="1">
      <alignment horizontal="left"/>
    </xf>
    <xf numFmtId="44" fontId="0" fillId="0" borderId="25" xfId="18" applyFont="1" applyBorder="1" applyAlignment="1">
      <alignment horizontal="left"/>
    </xf>
    <xf numFmtId="44" fontId="0" fillId="0" borderId="33" xfId="18" applyFont="1" applyBorder="1" applyAlignment="1">
      <alignment horizontal="center"/>
    </xf>
    <xf numFmtId="44" fontId="0" fillId="0" borderId="27" xfId="18" applyFont="1" applyBorder="1" applyAlignment="1">
      <alignment horizontal="left"/>
    </xf>
    <xf numFmtId="44" fontId="0" fillId="0" borderId="34" xfId="18" applyFont="1" applyBorder="1" applyAlignment="1">
      <alignment horizontal="center"/>
    </xf>
    <xf numFmtId="44" fontId="5" fillId="17" borderId="8" xfId="18" applyFont="1" applyFill="1" applyBorder="1"/>
    <xf numFmtId="0" fontId="17" fillId="0" borderId="2" xfId="0" applyFont="1" applyBorder="1" applyAlignment="1"/>
    <xf numFmtId="0" fontId="17" fillId="0" borderId="26" xfId="0" applyFont="1" applyBorder="1"/>
    <xf numFmtId="0" fontId="17" fillId="0" borderId="35" xfId="0" applyFont="1" applyBorder="1"/>
    <xf numFmtId="0" fontId="17" fillId="0" borderId="42" xfId="0" applyFont="1" applyBorder="1"/>
    <xf numFmtId="0" fontId="17" fillId="0" borderId="41" xfId="0" applyFont="1" applyBorder="1" applyAlignment="1">
      <alignment horizontal="center"/>
    </xf>
    <xf numFmtId="165" fontId="18" fillId="15" borderId="2" xfId="0" applyNumberFormat="1" applyFont="1" applyFill="1" applyBorder="1" applyAlignment="1" applyProtection="1">
      <alignment horizontal="center" vertical="center"/>
    </xf>
    <xf numFmtId="0" fontId="18" fillId="15" borderId="1" xfId="0" applyFont="1" applyFill="1" applyBorder="1" applyAlignment="1" applyProtection="1">
      <alignment horizontal="center" vertical="center"/>
    </xf>
    <xf numFmtId="0" fontId="19" fillId="0" borderId="37" xfId="0" applyFont="1" applyFill="1" applyBorder="1"/>
    <xf numFmtId="0" fontId="18" fillId="15" borderId="8" xfId="0" applyFont="1" applyFill="1" applyBorder="1" applyAlignment="1" applyProtection="1">
      <alignment horizontal="center"/>
    </xf>
    <xf numFmtId="168" fontId="24" fillId="0" borderId="8" xfId="0" applyNumberFormat="1" applyFont="1" applyFill="1" applyBorder="1" applyAlignment="1" applyProtection="1">
      <alignment horizontal="center" vertical="center"/>
    </xf>
    <xf numFmtId="168" fontId="24" fillId="0" borderId="10" xfId="0" applyNumberFormat="1" applyFont="1" applyFill="1" applyBorder="1" applyAlignment="1" applyProtection="1">
      <alignment horizontal="center" vertical="center"/>
    </xf>
    <xf numFmtId="168" fontId="24" fillId="0" borderId="11" xfId="0" applyNumberFormat="1" applyFont="1" applyFill="1" applyBorder="1" applyAlignment="1" applyProtection="1">
      <alignment horizontal="center" vertical="center"/>
    </xf>
    <xf numFmtId="9" fontId="17" fillId="19" borderId="1" xfId="19" applyFont="1" applyFill="1" applyBorder="1" applyAlignment="1" applyProtection="1">
      <alignment horizontal="center"/>
    </xf>
    <xf numFmtId="0" fontId="0" fillId="0" borderId="0" xfId="0" applyNumberFormat="1"/>
    <xf numFmtId="44" fontId="17" fillId="20" borderId="8" xfId="18" applyNumberFormat="1" applyFont="1" applyFill="1" applyBorder="1" applyAlignment="1" applyProtection="1">
      <protection locked="0"/>
    </xf>
    <xf numFmtId="0" fontId="5" fillId="0" borderId="0" xfId="0" applyFont="1" applyAlignment="1">
      <alignment horizontal="right"/>
    </xf>
    <xf numFmtId="0" fontId="0" fillId="0" borderId="25" xfId="0" applyBorder="1"/>
    <xf numFmtId="0" fontId="0" fillId="0" borderId="27" xfId="0" applyBorder="1"/>
    <xf numFmtId="0" fontId="0" fillId="0" borderId="8" xfId="0" applyFont="1" applyBorder="1" applyAlignment="1">
      <alignment horizontal="center"/>
    </xf>
    <xf numFmtId="14" fontId="0" fillId="0" borderId="8" xfId="0" applyNumberFormat="1" applyFont="1" applyBorder="1" applyAlignment="1">
      <alignment horizontal="center"/>
    </xf>
    <xf numFmtId="14" fontId="0" fillId="0" borderId="11" xfId="0" applyNumberFormat="1" applyFont="1" applyBorder="1" applyAlignment="1">
      <alignment horizontal="center"/>
    </xf>
    <xf numFmtId="14" fontId="17" fillId="0" borderId="0" xfId="0" applyNumberFormat="1" applyFont="1" applyProtection="1"/>
    <xf numFmtId="165" fontId="17" fillId="0" borderId="33" xfId="0" applyNumberFormat="1" applyFont="1" applyBorder="1" applyProtection="1"/>
    <xf numFmtId="165" fontId="17" fillId="0" borderId="34" xfId="0" applyNumberFormat="1" applyFont="1" applyBorder="1" applyProtection="1"/>
    <xf numFmtId="0" fontId="19" fillId="0" borderId="0" xfId="0" applyFont="1" applyAlignment="1" applyProtection="1"/>
    <xf numFmtId="168" fontId="17" fillId="0" borderId="1" xfId="0" applyNumberFormat="1" applyFont="1" applyBorder="1" applyAlignment="1" applyProtection="1">
      <alignment horizontal="center"/>
    </xf>
    <xf numFmtId="168" fontId="17" fillId="0" borderId="10" xfId="0" applyNumberFormat="1" applyFont="1" applyBorder="1" applyAlignment="1" applyProtection="1">
      <alignment horizontal="center"/>
    </xf>
    <xf numFmtId="0" fontId="17" fillId="17" borderId="7" xfId="0" applyFont="1" applyFill="1" applyBorder="1" applyAlignment="1" applyProtection="1">
      <alignment horizontal="left"/>
    </xf>
    <xf numFmtId="0" fontId="17" fillId="17" borderId="1" xfId="0" applyFont="1" applyFill="1" applyBorder="1" applyAlignment="1" applyProtection="1">
      <alignment horizontal="center"/>
    </xf>
    <xf numFmtId="0" fontId="17" fillId="17" borderId="8" xfId="0" applyFont="1" applyFill="1" applyBorder="1" applyAlignment="1" applyProtection="1">
      <alignment horizontal="center"/>
    </xf>
    <xf numFmtId="0" fontId="0" fillId="0" borderId="45" xfId="0" applyBorder="1"/>
    <xf numFmtId="0" fontId="0" fillId="0" borderId="2" xfId="0" applyBorder="1"/>
    <xf numFmtId="0" fontId="16" fillId="15" borderId="0" xfId="0" applyFont="1" applyFill="1" applyBorder="1" applyAlignment="1">
      <alignment horizontal="center"/>
    </xf>
    <xf numFmtId="44" fontId="0" fillId="0" borderId="0" xfId="18" applyFont="1" applyAlignment="1">
      <alignment horizontal="center"/>
    </xf>
    <xf numFmtId="0" fontId="17" fillId="0" borderId="7" xfId="0" applyFont="1" applyFill="1" applyBorder="1" applyProtection="1"/>
    <xf numFmtId="0" fontId="17" fillId="0" borderId="1" xfId="0" applyFont="1" applyFill="1" applyBorder="1" applyProtection="1"/>
    <xf numFmtId="44" fontId="0" fillId="0" borderId="6" xfId="18" applyFont="1" applyBorder="1"/>
    <xf numFmtId="0" fontId="19" fillId="16" borderId="1" xfId="0" applyFont="1" applyFill="1" applyBorder="1" applyAlignment="1">
      <alignment horizontal="center"/>
    </xf>
    <xf numFmtId="0" fontId="17" fillId="19" borderId="7" xfId="0" applyFont="1" applyFill="1" applyBorder="1" applyProtection="1"/>
    <xf numFmtId="168" fontId="0" fillId="20" borderId="8" xfId="0" applyNumberFormat="1" applyFill="1" applyBorder="1" applyProtection="1">
      <protection locked="0"/>
    </xf>
    <xf numFmtId="0" fontId="5" fillId="0" borderId="9" xfId="0" applyFont="1" applyBorder="1"/>
    <xf numFmtId="169" fontId="5" fillId="0" borderId="11" xfId="18" applyNumberFormat="1" applyFont="1" applyBorder="1"/>
    <xf numFmtId="44" fontId="17" fillId="20" borderId="10" xfId="18" applyFont="1" applyFill="1" applyBorder="1" applyAlignment="1" applyProtection="1">
      <alignment horizontal="center"/>
      <protection locked="0"/>
    </xf>
    <xf numFmtId="0" fontId="19" fillId="16" borderId="7" xfId="0" applyFont="1" applyFill="1" applyBorder="1"/>
    <xf numFmtId="44" fontId="19" fillId="16" borderId="1" xfId="18" applyFont="1" applyFill="1" applyBorder="1" applyAlignment="1">
      <alignment horizontal="center"/>
    </xf>
    <xf numFmtId="0" fontId="19" fillId="16" borderId="8" xfId="0" applyFont="1" applyFill="1" applyBorder="1" applyAlignment="1">
      <alignment horizontal="center"/>
    </xf>
    <xf numFmtId="44" fontId="20" fillId="13" borderId="8" xfId="0" applyNumberFormat="1" applyFont="1" applyFill="1" applyBorder="1" applyAlignment="1">
      <alignment horizontal="center"/>
    </xf>
    <xf numFmtId="44" fontId="21" fillId="19" borderId="8" xfId="18" applyFont="1" applyFill="1" applyBorder="1" applyAlignment="1">
      <alignment horizontal="center"/>
    </xf>
    <xf numFmtId="44" fontId="19" fillId="13" borderId="8" xfId="0" applyNumberFormat="1" applyFont="1" applyFill="1" applyBorder="1"/>
    <xf numFmtId="44" fontId="21" fillId="19" borderId="11" xfId="18" applyFont="1" applyFill="1" applyBorder="1" applyAlignment="1">
      <alignment horizontal="center"/>
    </xf>
    <xf numFmtId="0" fontId="4" fillId="15" borderId="0" xfId="0" applyFont="1" applyFill="1"/>
    <xf numFmtId="0" fontId="16" fillId="15" borderId="19" xfId="0" applyFont="1" applyFill="1" applyBorder="1" applyAlignment="1"/>
    <xf numFmtId="0" fontId="16" fillId="15" borderId="5" xfId="0" applyFont="1" applyFill="1" applyBorder="1" applyAlignment="1"/>
    <xf numFmtId="0" fontId="16" fillId="15" borderId="6" xfId="0" applyFont="1" applyFill="1" applyBorder="1" applyAlignment="1"/>
    <xf numFmtId="14" fontId="26" fillId="0" borderId="46" xfId="0" applyNumberFormat="1" applyFont="1" applyBorder="1" applyAlignment="1">
      <alignment horizontal="center"/>
    </xf>
    <xf numFmtId="0" fontId="26" fillId="0" borderId="46" xfId="0" applyFont="1" applyBorder="1" applyAlignment="1">
      <alignment horizontal="center"/>
    </xf>
    <xf numFmtId="44" fontId="26" fillId="0" borderId="46" xfId="18" applyFont="1" applyBorder="1" applyAlignment="1">
      <alignment horizontal="center"/>
    </xf>
    <xf numFmtId="0" fontId="0" fillId="0" borderId="0" xfId="0" applyAlignment="1">
      <alignment horizontal="left" vertical="top" wrapText="1"/>
    </xf>
    <xf numFmtId="0" fontId="0" fillId="0" borderId="8" xfId="0" applyBorder="1" applyAlignment="1">
      <alignment horizontal="left" vertical="top" wrapText="1"/>
    </xf>
    <xf numFmtId="0" fontId="19" fillId="0" borderId="0" xfId="0" applyFont="1" applyAlignment="1">
      <alignment horizontal="right" vertical="top" wrapText="1"/>
    </xf>
    <xf numFmtId="14" fontId="5" fillId="0" borderId="0" xfId="0" applyNumberFormat="1" applyFont="1" applyAlignment="1">
      <alignment horizontal="center" vertical="center"/>
    </xf>
    <xf numFmtId="14" fontId="5" fillId="0" borderId="7" xfId="0" applyNumberFormat="1" applyFont="1" applyBorder="1" applyAlignment="1">
      <alignment horizontal="center" vertical="center"/>
    </xf>
    <xf numFmtId="14" fontId="5" fillId="0" borderId="47" xfId="0" applyNumberFormat="1" applyFont="1" applyBorder="1" applyAlignment="1">
      <alignment horizontal="center" vertical="center"/>
    </xf>
    <xf numFmtId="0" fontId="0" fillId="0" borderId="22" xfId="0" applyBorder="1" applyAlignment="1">
      <alignment horizontal="left" vertical="top" wrapText="1"/>
    </xf>
    <xf numFmtId="0" fontId="16" fillId="15" borderId="19" xfId="0" applyFont="1" applyFill="1" applyBorder="1" applyAlignment="1">
      <alignment horizontal="center"/>
    </xf>
    <xf numFmtId="0" fontId="16" fillId="15" borderId="6" xfId="0" applyFont="1" applyFill="1" applyBorder="1" applyAlignment="1">
      <alignment horizontal="center"/>
    </xf>
    <xf numFmtId="0" fontId="2" fillId="0" borderId="15" xfId="0" applyFont="1" applyBorder="1" applyAlignment="1">
      <alignment horizontal="left" vertical="top" wrapText="1"/>
    </xf>
    <xf numFmtId="0" fontId="2" fillId="0" borderId="24" xfId="0" applyFont="1" applyBorder="1" applyAlignment="1">
      <alignment horizontal="left" vertical="top" wrapText="1"/>
    </xf>
    <xf numFmtId="0" fontId="2" fillId="0" borderId="23" xfId="0" applyFont="1" applyBorder="1" applyAlignment="1">
      <alignment horizontal="left" vertical="top" wrapText="1"/>
    </xf>
    <xf numFmtId="0" fontId="2" fillId="0" borderId="38" xfId="0" applyFont="1" applyBorder="1" applyAlignment="1">
      <alignment horizontal="left" vertical="top" wrapText="1"/>
    </xf>
    <xf numFmtId="0" fontId="2" fillId="0" borderId="16" xfId="0" applyFont="1" applyBorder="1" applyAlignment="1">
      <alignment horizontal="left" vertical="top" wrapText="1"/>
    </xf>
    <xf numFmtId="0" fontId="2" fillId="0" borderId="40" xfId="0" applyFont="1" applyBorder="1" applyAlignment="1">
      <alignment horizontal="left" vertical="top" wrapText="1"/>
    </xf>
    <xf numFmtId="0" fontId="29" fillId="15" borderId="31" xfId="0" applyFont="1" applyFill="1" applyBorder="1" applyAlignment="1">
      <alignment horizontal="center"/>
    </xf>
    <xf numFmtId="0" fontId="29" fillId="15" borderId="32" xfId="0" applyFont="1" applyFill="1" applyBorder="1" applyAlignment="1">
      <alignment horizontal="center"/>
    </xf>
    <xf numFmtId="0" fontId="19" fillId="13" borderId="25" xfId="0" applyFont="1" applyFill="1" applyBorder="1" applyAlignment="1">
      <alignment horizontal="center"/>
    </xf>
    <xf numFmtId="0" fontId="19" fillId="13" borderId="33" xfId="0" applyFont="1" applyFill="1" applyBorder="1" applyAlignment="1">
      <alignment horizontal="center"/>
    </xf>
    <xf numFmtId="0" fontId="19" fillId="13" borderId="2" xfId="0" applyFont="1" applyFill="1" applyBorder="1" applyAlignment="1">
      <alignment horizontal="center"/>
    </xf>
    <xf numFmtId="0" fontId="18" fillId="15" borderId="20" xfId="0" applyFont="1" applyFill="1" applyBorder="1" applyAlignment="1">
      <alignment horizontal="center"/>
    </xf>
    <xf numFmtId="0" fontId="18" fillId="15" borderId="21" xfId="0" applyFont="1" applyFill="1" applyBorder="1" applyAlignment="1">
      <alignment horizontal="center"/>
    </xf>
    <xf numFmtId="0" fontId="0" fillId="0" borderId="0" xfId="0" applyAlignment="1">
      <alignment horizontal="left" vertical="top" wrapText="1"/>
    </xf>
    <xf numFmtId="0" fontId="18" fillId="15" borderId="31" xfId="0" applyFont="1" applyFill="1" applyBorder="1" applyAlignment="1">
      <alignment horizontal="center"/>
    </xf>
    <xf numFmtId="0" fontId="18" fillId="15" borderId="32" xfId="0" applyFont="1" applyFill="1" applyBorder="1" applyAlignment="1">
      <alignment horizontal="center"/>
    </xf>
    <xf numFmtId="0" fontId="18" fillId="15" borderId="19" xfId="0" applyFont="1" applyFill="1" applyBorder="1" applyAlignment="1">
      <alignment horizontal="center"/>
    </xf>
    <xf numFmtId="0" fontId="18" fillId="15" borderId="6" xfId="0" applyFont="1" applyFill="1" applyBorder="1" applyAlignment="1">
      <alignment horizontal="center"/>
    </xf>
    <xf numFmtId="0" fontId="18" fillId="15" borderId="5" xfId="0" applyFont="1" applyFill="1" applyBorder="1" applyAlignment="1">
      <alignment horizontal="center"/>
    </xf>
    <xf numFmtId="0" fontId="18" fillId="15" borderId="20" xfId="0" applyFont="1" applyFill="1" applyBorder="1" applyAlignment="1" applyProtection="1">
      <alignment horizontal="center" vertical="center"/>
    </xf>
    <xf numFmtId="0" fontId="18" fillId="15" borderId="29" xfId="0" applyFont="1" applyFill="1" applyBorder="1" applyAlignment="1" applyProtection="1">
      <alignment horizontal="center" vertical="center"/>
    </xf>
    <xf numFmtId="0" fontId="18" fillId="15" borderId="21" xfId="0" applyFont="1" applyFill="1" applyBorder="1" applyAlignment="1" applyProtection="1">
      <alignment horizontal="center" vertical="center"/>
    </xf>
    <xf numFmtId="0" fontId="19" fillId="13" borderId="25" xfId="0" applyFont="1" applyFill="1" applyBorder="1" applyAlignment="1" applyProtection="1">
      <alignment horizontal="center"/>
    </xf>
    <xf numFmtId="0" fontId="19" fillId="13" borderId="33" xfId="0" applyFont="1" applyFill="1" applyBorder="1" applyAlignment="1" applyProtection="1">
      <alignment horizontal="center"/>
    </xf>
    <xf numFmtId="0" fontId="19" fillId="13" borderId="36" xfId="0" applyFont="1" applyFill="1" applyBorder="1" applyAlignment="1" applyProtection="1">
      <alignment horizontal="center"/>
    </xf>
    <xf numFmtId="0" fontId="18" fillId="15" borderId="20" xfId="0" applyFont="1" applyFill="1" applyBorder="1" applyAlignment="1" applyProtection="1">
      <alignment horizontal="center"/>
    </xf>
    <xf numFmtId="0" fontId="18" fillId="15" borderId="29" xfId="0" applyFont="1" applyFill="1" applyBorder="1" applyAlignment="1" applyProtection="1">
      <alignment horizontal="center"/>
    </xf>
    <xf numFmtId="0" fontId="18" fillId="15" borderId="21" xfId="0" applyFont="1" applyFill="1" applyBorder="1" applyAlignment="1" applyProtection="1">
      <alignment horizontal="center"/>
    </xf>
    <xf numFmtId="165" fontId="17" fillId="0" borderId="0" xfId="0" applyNumberFormat="1" applyFont="1" applyAlignment="1" applyProtection="1">
      <alignment horizontal="left" vertical="top" wrapText="1"/>
    </xf>
    <xf numFmtId="165" fontId="17" fillId="0" borderId="39" xfId="0" applyNumberFormat="1" applyFont="1" applyBorder="1" applyAlignment="1" applyProtection="1">
      <alignment horizontal="left" vertical="top" wrapText="1"/>
    </xf>
    <xf numFmtId="0" fontId="30" fillId="0" borderId="23" xfId="0" applyNumberFormat="1" applyFont="1" applyBorder="1" applyAlignment="1" applyProtection="1">
      <alignment vertical="top" wrapText="1"/>
    </xf>
    <xf numFmtId="0" fontId="30" fillId="0" borderId="0" xfId="0" applyNumberFormat="1" applyFont="1" applyAlignment="1" applyProtection="1">
      <alignment vertical="top" wrapText="1"/>
    </xf>
    <xf numFmtId="0" fontId="18" fillId="15" borderId="44" xfId="0" applyFont="1" applyFill="1" applyBorder="1" applyAlignment="1" applyProtection="1">
      <alignment horizontal="center" vertical="center"/>
    </xf>
    <xf numFmtId="0" fontId="18" fillId="15" borderId="5" xfId="0" applyFont="1" applyFill="1" applyBorder="1" applyAlignment="1" applyProtection="1">
      <alignment horizontal="center" vertical="center"/>
    </xf>
    <xf numFmtId="0" fontId="18" fillId="15" borderId="6" xfId="0" applyFont="1" applyFill="1" applyBorder="1" applyAlignment="1" applyProtection="1">
      <alignment horizontal="center" vertical="center"/>
    </xf>
    <xf numFmtId="0" fontId="18" fillId="15" borderId="15" xfId="0" applyFont="1" applyFill="1" applyBorder="1" applyAlignment="1" applyProtection="1">
      <alignment horizontal="center" vertical="center"/>
    </xf>
    <xf numFmtId="0" fontId="18" fillId="15" borderId="17" xfId="0" applyFont="1" applyFill="1" applyBorder="1" applyAlignment="1" applyProtection="1">
      <alignment horizontal="center" vertical="center"/>
    </xf>
    <xf numFmtId="0" fontId="18" fillId="15" borderId="16" xfId="0" applyFont="1" applyFill="1" applyBorder="1" applyAlignment="1" applyProtection="1">
      <alignment horizontal="center" vertical="center"/>
    </xf>
    <xf numFmtId="0" fontId="18" fillId="15" borderId="18" xfId="0" applyFont="1" applyFill="1" applyBorder="1" applyAlignment="1" applyProtection="1">
      <alignment horizontal="center" vertical="center"/>
    </xf>
    <xf numFmtId="0" fontId="0" fillId="0" borderId="0" xfId="0" applyAlignment="1">
      <alignment horizontal="left" wrapText="1"/>
    </xf>
    <xf numFmtId="0" fontId="0" fillId="0" borderId="45" xfId="0" applyBorder="1" applyAlignment="1">
      <alignment horizontal="left" vertical="center" wrapText="1"/>
    </xf>
    <xf numFmtId="0" fontId="0" fillId="0" borderId="33" xfId="0" applyBorder="1" applyAlignment="1">
      <alignment horizontal="left" vertical="center" wrapText="1"/>
    </xf>
    <xf numFmtId="0" fontId="0" fillId="0" borderId="2" xfId="0" applyBorder="1" applyAlignment="1">
      <alignment horizontal="left" vertical="center" wrapText="1"/>
    </xf>
    <xf numFmtId="0" fontId="18" fillId="15" borderId="29" xfId="0" applyFont="1" applyFill="1" applyBorder="1" applyAlignment="1">
      <alignment horizontal="center"/>
    </xf>
    <xf numFmtId="0" fontId="16" fillId="15" borderId="20" xfId="0" applyFont="1" applyFill="1" applyBorder="1" applyAlignment="1">
      <alignment horizontal="center"/>
    </xf>
    <xf numFmtId="0" fontId="16" fillId="15" borderId="29" xfId="0" applyFont="1" applyFill="1" applyBorder="1" applyAlignment="1">
      <alignment horizontal="center"/>
    </xf>
    <xf numFmtId="0" fontId="16" fillId="15" borderId="21" xfId="0" applyFont="1" applyFill="1" applyBorder="1" applyAlignment="1">
      <alignment horizontal="center"/>
    </xf>
    <xf numFmtId="0" fontId="19" fillId="17" borderId="26" xfId="0" applyFont="1" applyFill="1" applyBorder="1" applyAlignment="1">
      <alignment horizontal="center"/>
    </xf>
    <xf numFmtId="0" fontId="19" fillId="17" borderId="35" xfId="0" applyFont="1" applyFill="1" applyBorder="1" applyAlignment="1">
      <alignment horizontal="center"/>
    </xf>
    <xf numFmtId="0" fontId="19" fillId="17" borderId="25" xfId="0" applyFont="1" applyFill="1" applyBorder="1" applyAlignment="1">
      <alignment horizontal="left"/>
    </xf>
    <xf numFmtId="0" fontId="19" fillId="17" borderId="33" xfId="0" applyFont="1" applyFill="1" applyBorder="1" applyAlignment="1">
      <alignment horizontal="left"/>
    </xf>
    <xf numFmtId="168" fontId="18" fillId="15" borderId="31" xfId="0" applyNumberFormat="1" applyFont="1" applyFill="1" applyBorder="1" applyAlignment="1">
      <alignment horizontal="right"/>
    </xf>
    <xf numFmtId="168" fontId="18" fillId="15" borderId="30" xfId="0" applyNumberFormat="1" applyFont="1" applyFill="1" applyBorder="1" applyAlignment="1">
      <alignment horizontal="right"/>
    </xf>
    <xf numFmtId="168" fontId="18" fillId="15" borderId="43" xfId="0" applyNumberFormat="1" applyFont="1" applyFill="1" applyBorder="1" applyAlignment="1">
      <alignment horizontal="right"/>
    </xf>
    <xf numFmtId="0" fontId="19" fillId="17" borderId="23" xfId="0" applyFont="1" applyFill="1" applyBorder="1" applyAlignment="1">
      <alignment horizontal="center"/>
    </xf>
    <xf numFmtId="0" fontId="19" fillId="17" borderId="0" xfId="0" applyFont="1" applyFill="1" applyBorder="1" applyAlignment="1">
      <alignment horizontal="center"/>
    </xf>
    <xf numFmtId="44" fontId="5" fillId="17" borderId="7" xfId="18" applyFont="1" applyFill="1" applyBorder="1" applyAlignment="1">
      <alignment horizontal="center"/>
    </xf>
    <xf numFmtId="44" fontId="5" fillId="17" borderId="1" xfId="18" applyFont="1" applyFill="1" applyBorder="1" applyAlignment="1">
      <alignment horizontal="center"/>
    </xf>
    <xf numFmtId="168" fontId="18" fillId="15" borderId="27" xfId="0" applyNumberFormat="1" applyFont="1" applyFill="1" applyBorder="1" applyAlignment="1">
      <alignment horizontal="right"/>
    </xf>
    <xf numFmtId="168" fontId="18" fillId="15" borderId="34" xfId="0" applyNumberFormat="1" applyFont="1" applyFill="1" applyBorder="1" applyAlignment="1">
      <alignment horizontal="right"/>
    </xf>
    <xf numFmtId="168" fontId="18" fillId="15" borderId="28" xfId="0" applyNumberFormat="1" applyFont="1" applyFill="1" applyBorder="1" applyAlignment="1">
      <alignment horizontal="right"/>
    </xf>
    <xf numFmtId="0" fontId="4" fillId="15" borderId="20" xfId="0" applyFont="1" applyFill="1" applyBorder="1" applyAlignment="1">
      <alignment horizontal="center"/>
    </xf>
    <xf numFmtId="0" fontId="4" fillId="15" borderId="29" xfId="0" applyFont="1" applyFill="1" applyBorder="1" applyAlignment="1">
      <alignment horizontal="center"/>
    </xf>
    <xf numFmtId="0" fontId="4" fillId="15" borderId="21" xfId="0" applyFont="1" applyFill="1" applyBorder="1" applyAlignment="1">
      <alignment horizontal="center"/>
    </xf>
    <xf numFmtId="0" fontId="16" fillId="15" borderId="19" xfId="0" applyFont="1" applyFill="1" applyBorder="1" applyAlignment="1">
      <alignment horizontal="right"/>
    </xf>
    <xf numFmtId="0" fontId="16" fillId="15" borderId="5" xfId="0" applyFont="1" applyFill="1" applyBorder="1" applyAlignment="1">
      <alignment horizontal="right"/>
    </xf>
    <xf numFmtId="0" fontId="16" fillId="15" borderId="9" xfId="0" applyFont="1" applyFill="1" applyBorder="1" applyAlignment="1">
      <alignment horizontal="right"/>
    </xf>
    <xf numFmtId="0" fontId="16" fillId="15" borderId="10" xfId="0" applyFont="1" applyFill="1" applyBorder="1" applyAlignment="1">
      <alignment horizontal="right"/>
    </xf>
    <xf numFmtId="0" fontId="16" fillId="15" borderId="15" xfId="0" applyFont="1" applyFill="1" applyBorder="1" applyAlignment="1">
      <alignment horizontal="center"/>
    </xf>
    <xf numFmtId="0" fontId="16" fillId="15" borderId="37" xfId="0" applyFont="1" applyFill="1" applyBorder="1" applyAlignment="1">
      <alignment horizontal="center"/>
    </xf>
    <xf numFmtId="0" fontId="16" fillId="15" borderId="24" xfId="0" applyFont="1" applyFill="1" applyBorder="1" applyAlignment="1">
      <alignment horizontal="center"/>
    </xf>
    <xf numFmtId="0" fontId="16" fillId="15" borderId="0" xfId="0" applyFont="1" applyFill="1" applyBorder="1" applyAlignment="1">
      <alignment horizontal="center"/>
    </xf>
    <xf numFmtId="44" fontId="0" fillId="0" borderId="0" xfId="18" applyFont="1" applyAlignment="1">
      <alignment horizontal="center"/>
    </xf>
  </cellXfs>
  <cellStyles count="21">
    <cellStyle name="B-Base" xfId="4" xr:uid="{00000000-0005-0000-0000-000006000000}"/>
    <cellStyle name="B-Base Head" xfId="3" xr:uid="{00000000-0005-0000-0000-000007000000}"/>
    <cellStyle name="B-Base Modify" xfId="7" xr:uid="{00000000-0005-0000-0000-000008000000}"/>
    <cellStyle name="B-Base Subtotal" xfId="1" xr:uid="{00000000-0005-0000-0000-000009000000}"/>
    <cellStyle name="B-Base Total" xfId="2" xr:uid="{00000000-0005-0000-0000-00000A000000}"/>
    <cellStyle name="Base Table" xfId="16" xr:uid="{00000000-0005-0000-0000-000003000000}"/>
    <cellStyle name="Base Table Change" xfId="17" xr:uid="{00000000-0005-0000-0000-000004000000}"/>
    <cellStyle name="Base Table Highlight" xfId="14" xr:uid="{00000000-0005-0000-0000-000005000000}"/>
    <cellStyle name="Currency" xfId="18" builtinId="4"/>
    <cellStyle name="G-Base" xfId="8" xr:uid="{00000000-0005-0000-0000-00000B000000}"/>
    <cellStyle name="G-Base Head" xfId="9" xr:uid="{00000000-0005-0000-0000-00000C000000}"/>
    <cellStyle name="G-Base Modify" xfId="10" xr:uid="{00000000-0005-0000-0000-00000D000000}"/>
    <cellStyle name="G-Base Total" xfId="11" xr:uid="{00000000-0005-0000-0000-00000E000000}"/>
    <cellStyle name="Hyperlink" xfId="20" builtinId="8"/>
    <cellStyle name="Normal" xfId="0" builtinId="0"/>
    <cellStyle name="Percent" xfId="19" builtinId="5"/>
    <cellStyle name="Table Head" xfId="5" xr:uid="{00000000-0005-0000-0000-000010000000}"/>
    <cellStyle name="Table Header" xfId="12" xr:uid="{00000000-0005-0000-0000-000011000000}"/>
    <cellStyle name="Table Sub Head" xfId="6" xr:uid="{00000000-0005-0000-0000-000012000000}"/>
    <cellStyle name="Table Sub-Header" xfId="15" xr:uid="{00000000-0005-0000-0000-000013000000}"/>
    <cellStyle name="Table Sum" xfId="13"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7</xdr:row>
      <xdr:rowOff>0</xdr:rowOff>
    </xdr:from>
    <xdr:to>
      <xdr:col>6</xdr:col>
      <xdr:colOff>1</xdr:colOff>
      <xdr:row>37</xdr:row>
      <xdr:rowOff>61387</xdr:rowOff>
    </xdr:to>
    <xdr:pic>
      <xdr:nvPicPr>
        <xdr:cNvPr id="2" name="Picture 1">
          <a:extLst>
            <a:ext uri="{FF2B5EF4-FFF2-40B4-BE49-F238E27FC236}">
              <a16:creationId xmlns:a16="http://schemas.microsoft.com/office/drawing/2014/main" id="{89C8C8C1-9501-8442-8DA4-70507D376C5A}"/>
            </a:ext>
          </a:extLst>
        </xdr:cNvPr>
        <xdr:cNvPicPr>
          <a:picLocks noChangeAspect="1"/>
        </xdr:cNvPicPr>
      </xdr:nvPicPr>
      <xdr:blipFill>
        <a:blip xmlns:r="http://schemas.openxmlformats.org/officeDocument/2006/relationships" r:embed="rId1"/>
        <a:stretch>
          <a:fillRect/>
        </a:stretch>
      </xdr:blipFill>
      <xdr:spPr>
        <a:xfrm>
          <a:off x="217715" y="2721429"/>
          <a:ext cx="4771572" cy="6188787"/>
        </a:xfrm>
        <a:prstGeom prst="rect">
          <a:avLst/>
        </a:prstGeom>
      </xdr:spPr>
    </xdr:pic>
    <xdr:clientData/>
  </xdr:twoCellAnchor>
  <xdr:twoCellAnchor>
    <xdr:from>
      <xdr:col>5</xdr:col>
      <xdr:colOff>154214</xdr:colOff>
      <xdr:row>7</xdr:row>
      <xdr:rowOff>90714</xdr:rowOff>
    </xdr:from>
    <xdr:to>
      <xdr:col>7</xdr:col>
      <xdr:colOff>0</xdr:colOff>
      <xdr:row>9</xdr:row>
      <xdr:rowOff>18142</xdr:rowOff>
    </xdr:to>
    <xdr:cxnSp macro="">
      <xdr:nvCxnSpPr>
        <xdr:cNvPr id="4" name="Straight Arrow Connector 3">
          <a:extLst>
            <a:ext uri="{FF2B5EF4-FFF2-40B4-BE49-F238E27FC236}">
              <a16:creationId xmlns:a16="http://schemas.microsoft.com/office/drawing/2014/main" id="{04F3C294-772D-D745-A479-BBC624118A6E}"/>
            </a:ext>
          </a:extLst>
        </xdr:cNvPr>
        <xdr:cNvCxnSpPr/>
      </xdr:nvCxnSpPr>
      <xdr:spPr>
        <a:xfrm flipV="1">
          <a:off x="4318000" y="2812143"/>
          <a:ext cx="3120571" cy="3084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161471</xdr:colOff>
      <xdr:row>8</xdr:row>
      <xdr:rowOff>127000</xdr:rowOff>
    </xdr:from>
    <xdr:to>
      <xdr:col>8</xdr:col>
      <xdr:colOff>87923</xdr:colOff>
      <xdr:row>10</xdr:row>
      <xdr:rowOff>34472</xdr:rowOff>
    </xdr:to>
    <xdr:cxnSp macro="">
      <xdr:nvCxnSpPr>
        <xdr:cNvPr id="5" name="Straight Arrow Connector 4">
          <a:extLst>
            <a:ext uri="{FF2B5EF4-FFF2-40B4-BE49-F238E27FC236}">
              <a16:creationId xmlns:a16="http://schemas.microsoft.com/office/drawing/2014/main" id="{B13712BB-BF4D-EC4B-9377-D6A2726E14DD}"/>
            </a:ext>
          </a:extLst>
        </xdr:cNvPr>
        <xdr:cNvCxnSpPr/>
      </xdr:nvCxnSpPr>
      <xdr:spPr>
        <a:xfrm flipV="1">
          <a:off x="4332933" y="2354385"/>
          <a:ext cx="2612990" cy="2982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168728</xdr:colOff>
      <xdr:row>12</xdr:row>
      <xdr:rowOff>108857</xdr:rowOff>
    </xdr:from>
    <xdr:to>
      <xdr:col>7</xdr:col>
      <xdr:colOff>0</xdr:colOff>
      <xdr:row>13</xdr:row>
      <xdr:rowOff>87085</xdr:rowOff>
    </xdr:to>
    <xdr:cxnSp macro="">
      <xdr:nvCxnSpPr>
        <xdr:cNvPr id="7" name="Straight Arrow Connector 6">
          <a:extLst>
            <a:ext uri="{FF2B5EF4-FFF2-40B4-BE49-F238E27FC236}">
              <a16:creationId xmlns:a16="http://schemas.microsoft.com/office/drawing/2014/main" id="{14BC366C-11F3-4444-9A0A-BBB92279141F}"/>
            </a:ext>
          </a:extLst>
        </xdr:cNvPr>
        <xdr:cNvCxnSpPr/>
      </xdr:nvCxnSpPr>
      <xdr:spPr>
        <a:xfrm flipV="1">
          <a:off x="4332514" y="3782786"/>
          <a:ext cx="3078843" cy="1687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175985</xdr:colOff>
      <xdr:row>13</xdr:row>
      <xdr:rowOff>116114</xdr:rowOff>
    </xdr:from>
    <xdr:to>
      <xdr:col>7</xdr:col>
      <xdr:colOff>0</xdr:colOff>
      <xdr:row>14</xdr:row>
      <xdr:rowOff>94342</xdr:rowOff>
    </xdr:to>
    <xdr:cxnSp macro="">
      <xdr:nvCxnSpPr>
        <xdr:cNvPr id="9" name="Straight Arrow Connector 8">
          <a:extLst>
            <a:ext uri="{FF2B5EF4-FFF2-40B4-BE49-F238E27FC236}">
              <a16:creationId xmlns:a16="http://schemas.microsoft.com/office/drawing/2014/main" id="{4C4A9C35-9954-1845-8219-C6C324310597}"/>
            </a:ext>
          </a:extLst>
        </xdr:cNvPr>
        <xdr:cNvCxnSpPr/>
      </xdr:nvCxnSpPr>
      <xdr:spPr>
        <a:xfrm flipV="1">
          <a:off x="4339771" y="3980543"/>
          <a:ext cx="3078843" cy="1687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174171</xdr:colOff>
      <xdr:row>14</xdr:row>
      <xdr:rowOff>123371</xdr:rowOff>
    </xdr:from>
    <xdr:to>
      <xdr:col>7</xdr:col>
      <xdr:colOff>0</xdr:colOff>
      <xdr:row>15</xdr:row>
      <xdr:rowOff>101599</xdr:rowOff>
    </xdr:to>
    <xdr:cxnSp macro="">
      <xdr:nvCxnSpPr>
        <xdr:cNvPr id="10" name="Straight Arrow Connector 9">
          <a:extLst>
            <a:ext uri="{FF2B5EF4-FFF2-40B4-BE49-F238E27FC236}">
              <a16:creationId xmlns:a16="http://schemas.microsoft.com/office/drawing/2014/main" id="{12DC129F-6C1A-3849-B5FC-FE8467CB3622}"/>
            </a:ext>
          </a:extLst>
        </xdr:cNvPr>
        <xdr:cNvCxnSpPr/>
      </xdr:nvCxnSpPr>
      <xdr:spPr>
        <a:xfrm flipV="1">
          <a:off x="4337957" y="4178300"/>
          <a:ext cx="3078843" cy="1687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181428</xdr:colOff>
      <xdr:row>15</xdr:row>
      <xdr:rowOff>139700</xdr:rowOff>
    </xdr:from>
    <xdr:to>
      <xdr:col>7</xdr:col>
      <xdr:colOff>0</xdr:colOff>
      <xdr:row>16</xdr:row>
      <xdr:rowOff>117928</xdr:rowOff>
    </xdr:to>
    <xdr:cxnSp macro="">
      <xdr:nvCxnSpPr>
        <xdr:cNvPr id="11" name="Straight Arrow Connector 10">
          <a:extLst>
            <a:ext uri="{FF2B5EF4-FFF2-40B4-BE49-F238E27FC236}">
              <a16:creationId xmlns:a16="http://schemas.microsoft.com/office/drawing/2014/main" id="{025B9FAC-FD22-044C-905D-A88D0BD1A479}"/>
            </a:ext>
          </a:extLst>
        </xdr:cNvPr>
        <xdr:cNvCxnSpPr/>
      </xdr:nvCxnSpPr>
      <xdr:spPr>
        <a:xfrm flipV="1">
          <a:off x="4345214" y="4385129"/>
          <a:ext cx="3078843" cy="1687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181428</xdr:colOff>
      <xdr:row>17</xdr:row>
      <xdr:rowOff>117928</xdr:rowOff>
    </xdr:from>
    <xdr:to>
      <xdr:col>5</xdr:col>
      <xdr:colOff>444500</xdr:colOff>
      <xdr:row>21</xdr:row>
      <xdr:rowOff>117928</xdr:rowOff>
    </xdr:to>
    <xdr:sp macro="" textlink="">
      <xdr:nvSpPr>
        <xdr:cNvPr id="12" name="Right Brace 11">
          <a:extLst>
            <a:ext uri="{FF2B5EF4-FFF2-40B4-BE49-F238E27FC236}">
              <a16:creationId xmlns:a16="http://schemas.microsoft.com/office/drawing/2014/main" id="{2889151F-8C13-D041-8B7F-BEFEB25B3151}"/>
            </a:ext>
          </a:extLst>
        </xdr:cNvPr>
        <xdr:cNvSpPr/>
      </xdr:nvSpPr>
      <xdr:spPr>
        <a:xfrm>
          <a:off x="4345214" y="4744357"/>
          <a:ext cx="263072" cy="762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451757</xdr:colOff>
      <xdr:row>18</xdr:row>
      <xdr:rowOff>99785</xdr:rowOff>
    </xdr:from>
    <xdr:to>
      <xdr:col>7</xdr:col>
      <xdr:colOff>0</xdr:colOff>
      <xdr:row>19</xdr:row>
      <xdr:rowOff>116114</xdr:rowOff>
    </xdr:to>
    <xdr:cxnSp macro="">
      <xdr:nvCxnSpPr>
        <xdr:cNvPr id="13" name="Straight Arrow Connector 12">
          <a:extLst>
            <a:ext uri="{FF2B5EF4-FFF2-40B4-BE49-F238E27FC236}">
              <a16:creationId xmlns:a16="http://schemas.microsoft.com/office/drawing/2014/main" id="{0B128B49-CB0E-2144-A74A-D2DF9E481E69}"/>
            </a:ext>
          </a:extLst>
        </xdr:cNvPr>
        <xdr:cNvCxnSpPr/>
      </xdr:nvCxnSpPr>
      <xdr:spPr>
        <a:xfrm flipV="1">
          <a:off x="4615543" y="4916714"/>
          <a:ext cx="2786743" cy="2068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143328</xdr:colOff>
      <xdr:row>24</xdr:row>
      <xdr:rowOff>107044</xdr:rowOff>
    </xdr:from>
    <xdr:to>
      <xdr:col>5</xdr:col>
      <xdr:colOff>406400</xdr:colOff>
      <xdr:row>26</xdr:row>
      <xdr:rowOff>9073</xdr:rowOff>
    </xdr:to>
    <xdr:sp macro="" textlink="">
      <xdr:nvSpPr>
        <xdr:cNvPr id="17" name="Right Brace 16">
          <a:extLst>
            <a:ext uri="{FF2B5EF4-FFF2-40B4-BE49-F238E27FC236}">
              <a16:creationId xmlns:a16="http://schemas.microsoft.com/office/drawing/2014/main" id="{EE0DC8C4-43DD-2647-AC88-793FCF304408}"/>
            </a:ext>
          </a:extLst>
        </xdr:cNvPr>
        <xdr:cNvSpPr/>
      </xdr:nvSpPr>
      <xdr:spPr>
        <a:xfrm>
          <a:off x="4307114" y="6066973"/>
          <a:ext cx="263072" cy="63681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426357</xdr:colOff>
      <xdr:row>25</xdr:row>
      <xdr:rowOff>254000</xdr:rowOff>
    </xdr:from>
    <xdr:to>
      <xdr:col>8</xdr:col>
      <xdr:colOff>9769</xdr:colOff>
      <xdr:row>25</xdr:row>
      <xdr:rowOff>273539</xdr:rowOff>
    </xdr:to>
    <xdr:cxnSp macro="">
      <xdr:nvCxnSpPr>
        <xdr:cNvPr id="18" name="Straight Arrow Connector 17">
          <a:extLst>
            <a:ext uri="{FF2B5EF4-FFF2-40B4-BE49-F238E27FC236}">
              <a16:creationId xmlns:a16="http://schemas.microsoft.com/office/drawing/2014/main" id="{D41D0072-8562-7A4B-8892-7F6B87D3FF90}"/>
            </a:ext>
          </a:extLst>
        </xdr:cNvPr>
        <xdr:cNvCxnSpPr/>
      </xdr:nvCxnSpPr>
      <xdr:spPr>
        <a:xfrm>
          <a:off x="4597819" y="6828692"/>
          <a:ext cx="3930719" cy="195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45359</xdr:colOff>
      <xdr:row>27</xdr:row>
      <xdr:rowOff>64538</xdr:rowOff>
    </xdr:from>
    <xdr:to>
      <xdr:col>5</xdr:col>
      <xdr:colOff>771071</xdr:colOff>
      <xdr:row>35</xdr:row>
      <xdr:rowOff>108857</xdr:rowOff>
    </xdr:to>
    <xdr:cxnSp macro="">
      <xdr:nvCxnSpPr>
        <xdr:cNvPr id="23" name="Straight Connector 22">
          <a:extLst>
            <a:ext uri="{FF2B5EF4-FFF2-40B4-BE49-F238E27FC236}">
              <a16:creationId xmlns:a16="http://schemas.microsoft.com/office/drawing/2014/main" id="{9EBA61FC-3E66-0A4A-A271-0AFCE6B13497}"/>
            </a:ext>
          </a:extLst>
        </xdr:cNvPr>
        <xdr:cNvCxnSpPr/>
      </xdr:nvCxnSpPr>
      <xdr:spPr>
        <a:xfrm>
          <a:off x="263073" y="6949752"/>
          <a:ext cx="4671784" cy="1568319"/>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36286</xdr:colOff>
      <xdr:row>27</xdr:row>
      <xdr:rowOff>53652</xdr:rowOff>
    </xdr:from>
    <xdr:to>
      <xdr:col>5</xdr:col>
      <xdr:colOff>760187</xdr:colOff>
      <xdr:row>35</xdr:row>
      <xdr:rowOff>136072</xdr:rowOff>
    </xdr:to>
    <xdr:cxnSp macro="">
      <xdr:nvCxnSpPr>
        <xdr:cNvPr id="25" name="Straight Connector 24">
          <a:extLst>
            <a:ext uri="{FF2B5EF4-FFF2-40B4-BE49-F238E27FC236}">
              <a16:creationId xmlns:a16="http://schemas.microsoft.com/office/drawing/2014/main" id="{1B12E0DF-991A-8A42-B385-75B2EFBE5648}"/>
            </a:ext>
          </a:extLst>
        </xdr:cNvPr>
        <xdr:cNvCxnSpPr/>
      </xdr:nvCxnSpPr>
      <xdr:spPr>
        <a:xfrm flipH="1">
          <a:off x="254000" y="6938866"/>
          <a:ext cx="4669973" cy="1606420"/>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52614</xdr:colOff>
      <xdr:row>28</xdr:row>
      <xdr:rowOff>90715</xdr:rowOff>
    </xdr:from>
    <xdr:to>
      <xdr:col>7</xdr:col>
      <xdr:colOff>0</xdr:colOff>
      <xdr:row>36</xdr:row>
      <xdr:rowOff>52615</xdr:rowOff>
    </xdr:to>
    <xdr:cxnSp macro="">
      <xdr:nvCxnSpPr>
        <xdr:cNvPr id="27" name="Straight Arrow Connector 26">
          <a:extLst>
            <a:ext uri="{FF2B5EF4-FFF2-40B4-BE49-F238E27FC236}">
              <a16:creationId xmlns:a16="http://schemas.microsoft.com/office/drawing/2014/main" id="{23367FEC-BFE3-D541-B5AA-C103A4151AA6}"/>
            </a:ext>
          </a:extLst>
        </xdr:cNvPr>
        <xdr:cNvCxnSpPr/>
      </xdr:nvCxnSpPr>
      <xdr:spPr>
        <a:xfrm flipV="1">
          <a:off x="2438400" y="7166429"/>
          <a:ext cx="5018314" cy="1485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39</xdr:row>
      <xdr:rowOff>0</xdr:rowOff>
    </xdr:from>
    <xdr:to>
      <xdr:col>6</xdr:col>
      <xdr:colOff>1128</xdr:colOff>
      <xdr:row>63</xdr:row>
      <xdr:rowOff>3553</xdr:rowOff>
    </xdr:to>
    <xdr:pic>
      <xdr:nvPicPr>
        <xdr:cNvPr id="30" name="Picture 29">
          <a:extLst>
            <a:ext uri="{FF2B5EF4-FFF2-40B4-BE49-F238E27FC236}">
              <a16:creationId xmlns:a16="http://schemas.microsoft.com/office/drawing/2014/main" id="{0EE9D3B3-39B8-664E-9383-804206AEB228}"/>
            </a:ext>
          </a:extLst>
        </xdr:cNvPr>
        <xdr:cNvPicPr>
          <a:picLocks noChangeAspect="1"/>
        </xdr:cNvPicPr>
      </xdr:nvPicPr>
      <xdr:blipFill>
        <a:blip xmlns:r="http://schemas.openxmlformats.org/officeDocument/2006/relationships" r:embed="rId2"/>
        <a:stretch>
          <a:fillRect/>
        </a:stretch>
      </xdr:blipFill>
      <xdr:spPr>
        <a:xfrm>
          <a:off x="214923" y="9661769"/>
          <a:ext cx="4788051" cy="4712322"/>
        </a:xfrm>
        <a:prstGeom prst="rect">
          <a:avLst/>
        </a:prstGeom>
      </xdr:spPr>
    </xdr:pic>
    <xdr:clientData/>
  </xdr:twoCellAnchor>
  <xdr:twoCellAnchor>
    <xdr:from>
      <xdr:col>5</xdr:col>
      <xdr:colOff>797294</xdr:colOff>
      <xdr:row>44</xdr:row>
      <xdr:rowOff>0</xdr:rowOff>
    </xdr:from>
    <xdr:to>
      <xdr:col>6</xdr:col>
      <xdr:colOff>265545</xdr:colOff>
      <xdr:row>45</xdr:row>
      <xdr:rowOff>150092</xdr:rowOff>
    </xdr:to>
    <xdr:sp macro="" textlink="">
      <xdr:nvSpPr>
        <xdr:cNvPr id="31" name="Right Brace 30">
          <a:extLst>
            <a:ext uri="{FF2B5EF4-FFF2-40B4-BE49-F238E27FC236}">
              <a16:creationId xmlns:a16="http://schemas.microsoft.com/office/drawing/2014/main" id="{8C96395F-9042-AD44-A1A6-4C283495AC14}"/>
            </a:ext>
          </a:extLst>
        </xdr:cNvPr>
        <xdr:cNvSpPr/>
      </xdr:nvSpPr>
      <xdr:spPr>
        <a:xfrm>
          <a:off x="4976749" y="10402455"/>
          <a:ext cx="299523" cy="3463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249052</xdr:colOff>
      <xdr:row>44</xdr:row>
      <xdr:rowOff>9769</xdr:rowOff>
    </xdr:from>
    <xdr:to>
      <xdr:col>7</xdr:col>
      <xdr:colOff>976923</xdr:colOff>
      <xdr:row>44</xdr:row>
      <xdr:rowOff>141021</xdr:rowOff>
    </xdr:to>
    <xdr:cxnSp macro="">
      <xdr:nvCxnSpPr>
        <xdr:cNvPr id="32" name="Straight Arrow Connector 31">
          <a:extLst>
            <a:ext uri="{FF2B5EF4-FFF2-40B4-BE49-F238E27FC236}">
              <a16:creationId xmlns:a16="http://schemas.microsoft.com/office/drawing/2014/main" id="{2C5E76BF-E9D2-434E-BB04-698ECB94D1F0}"/>
            </a:ext>
          </a:extLst>
        </xdr:cNvPr>
        <xdr:cNvCxnSpPr/>
      </xdr:nvCxnSpPr>
      <xdr:spPr>
        <a:xfrm flipV="1">
          <a:off x="5250898" y="9456615"/>
          <a:ext cx="3219025" cy="1312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benefeds.com/" TargetMode="External"/><Relationship Id="rId1" Type="http://schemas.openxmlformats.org/officeDocument/2006/relationships/hyperlink" Target="https://www.opm.gov/healthcare-insurance/healthcare/plan-information/compare-plan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paycheckcity.com/calculator/sal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A269D-8F4D-774C-83E7-FD16069A7792}">
  <sheetPr codeName="Sheet6"/>
  <dimension ref="B1:C14"/>
  <sheetViews>
    <sheetView showGridLines="0" tabSelected="1" workbookViewId="0"/>
  </sheetViews>
  <sheetFormatPr baseColWidth="10" defaultRowHeight="15"/>
  <cols>
    <col min="1" max="1" width="4.1640625" customWidth="1"/>
    <col min="2" max="2" width="18.83203125" style="237" customWidth="1"/>
    <col min="3" max="3" width="106.1640625" style="234" customWidth="1"/>
  </cols>
  <sheetData>
    <row r="1" spans="2:3" ht="16" thickBot="1"/>
    <row r="2" spans="2:3" ht="20" thickBot="1">
      <c r="B2" s="249" t="s">
        <v>170</v>
      </c>
      <c r="C2" s="250"/>
    </row>
    <row r="3" spans="2:3" s="2" customFormat="1" ht="409" customHeight="1">
      <c r="B3" s="243" t="s">
        <v>191</v>
      </c>
      <c r="C3" s="244"/>
    </row>
    <row r="4" spans="2:3" s="2" customFormat="1" ht="15" customHeight="1">
      <c r="B4" s="245"/>
      <c r="C4" s="246"/>
    </row>
    <row r="5" spans="2:3" s="2" customFormat="1" ht="15" customHeight="1" thickBot="1">
      <c r="B5" s="247"/>
      <c r="C5" s="248"/>
    </row>
    <row r="6" spans="2:3">
      <c r="C6" s="236" t="s">
        <v>207</v>
      </c>
    </row>
    <row r="8" spans="2:3" ht="16" thickBot="1"/>
    <row r="9" spans="2:3">
      <c r="B9" s="241" t="s">
        <v>200</v>
      </c>
      <c r="C9" s="242"/>
    </row>
    <row r="10" spans="2:3" s="2" customFormat="1" ht="16">
      <c r="B10" s="238">
        <v>43516</v>
      </c>
      <c r="C10" s="235" t="s">
        <v>206</v>
      </c>
    </row>
    <row r="11" spans="2:3" ht="32">
      <c r="B11" s="238">
        <v>43515</v>
      </c>
      <c r="C11" s="235" t="s">
        <v>202</v>
      </c>
    </row>
    <row r="12" spans="2:3" ht="16">
      <c r="B12" s="238">
        <v>43513</v>
      </c>
      <c r="C12" s="235" t="s">
        <v>201</v>
      </c>
    </row>
    <row r="13" spans="2:3" s="2" customFormat="1" ht="32">
      <c r="B13" s="238">
        <v>43507</v>
      </c>
      <c r="C13" s="235" t="s">
        <v>203</v>
      </c>
    </row>
    <row r="14" spans="2:3" ht="17" thickBot="1">
      <c r="B14" s="239">
        <v>43503</v>
      </c>
      <c r="C14" s="240" t="s">
        <v>204</v>
      </c>
    </row>
  </sheetData>
  <sheetProtection algorithmName="SHA-512" hashValue="mxzgCnJeRVTbFls8JBkM9A88lO5nmN08WnyG2iTySuHJNQ9u4M4G2tOcP8ZFwo3yHksM+CC+75MS7uR7Zq+vtQ==" saltValue="KDP/pf1AfIbaZANiouq+LQ==" spinCount="100000" sheet="1" selectLockedCells="1"/>
  <mergeCells count="3">
    <mergeCell ref="B9:C9"/>
    <mergeCell ref="B3:C5"/>
    <mergeCell ref="B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4CF75-D9EE-D246-B33A-11F227C233F3}">
  <sheetPr codeName="Sheet1"/>
  <dimension ref="B1:N39"/>
  <sheetViews>
    <sheetView showGridLines="0" zoomScale="130" zoomScaleNormal="130" workbookViewId="0">
      <selection activeCell="C8" sqref="C8"/>
    </sheetView>
  </sheetViews>
  <sheetFormatPr baseColWidth="10" defaultRowHeight="15"/>
  <cols>
    <col min="1" max="1" width="3.83203125" customWidth="1"/>
    <col min="2" max="2" width="29" customWidth="1"/>
    <col min="3" max="3" width="13.1640625" customWidth="1"/>
    <col min="4" max="4" width="2.1640625" customWidth="1"/>
    <col min="5" max="5" width="20.1640625" customWidth="1"/>
    <col min="6" max="6" width="4.1640625" customWidth="1"/>
    <col min="7" max="8" width="8.83203125" customWidth="1"/>
    <col min="9" max="9" width="0.83203125" customWidth="1"/>
    <col min="10" max="10" width="26.5" customWidth="1"/>
    <col min="11" max="11" width="13.33203125" style="2" customWidth="1"/>
    <col min="12" max="12" width="10.83203125" customWidth="1"/>
    <col min="13" max="13" width="21.5" customWidth="1"/>
    <col min="14" max="14" width="3.5" style="2" customWidth="1"/>
    <col min="15" max="16" width="10.83203125" customWidth="1"/>
  </cols>
  <sheetData>
    <row r="1" spans="2:14" s="2" customFormat="1" ht="5" customHeight="1">
      <c r="E1" s="32"/>
      <c r="F1" s="32"/>
      <c r="G1" s="32"/>
      <c r="H1" s="32"/>
      <c r="I1" s="32"/>
      <c r="J1" s="32"/>
      <c r="K1" s="32"/>
      <c r="L1" s="32"/>
      <c r="M1" s="32"/>
      <c r="N1" s="32"/>
    </row>
    <row r="2" spans="2:14" s="2" customFormat="1" ht="82" customHeight="1">
      <c r="B2" s="256" t="s">
        <v>205</v>
      </c>
      <c r="C2" s="256"/>
      <c r="D2" s="256"/>
      <c r="E2" s="256"/>
      <c r="F2" s="256"/>
      <c r="G2" s="256"/>
      <c r="H2" s="256"/>
      <c r="I2" s="32"/>
      <c r="L2" s="32"/>
      <c r="M2" s="32"/>
      <c r="N2" s="32"/>
    </row>
    <row r="3" spans="2:14" ht="62" customHeight="1">
      <c r="B3" s="256"/>
      <c r="C3" s="256"/>
      <c r="D3" s="256"/>
      <c r="E3" s="256"/>
      <c r="F3" s="256"/>
      <c r="G3" s="256"/>
      <c r="H3" s="256"/>
      <c r="I3" s="32"/>
      <c r="L3" s="32"/>
      <c r="M3" s="32"/>
      <c r="N3" s="32"/>
    </row>
    <row r="4" spans="2:14" s="2" customFormat="1">
      <c r="B4" s="123" t="s">
        <v>148</v>
      </c>
      <c r="C4" s="122" t="s">
        <v>149</v>
      </c>
      <c r="D4" s="121"/>
      <c r="E4" s="121"/>
      <c r="F4" s="121"/>
      <c r="G4" s="121"/>
      <c r="H4" s="121"/>
      <c r="I4" s="32"/>
      <c r="L4" s="32"/>
      <c r="M4" s="32"/>
      <c r="N4" s="32"/>
    </row>
    <row r="5" spans="2:14">
      <c r="B5" s="124" t="s">
        <v>150</v>
      </c>
      <c r="C5" s="122" t="s">
        <v>151</v>
      </c>
      <c r="D5" s="121"/>
      <c r="E5" s="121"/>
      <c r="F5" s="121"/>
      <c r="G5" s="121"/>
      <c r="H5" s="121"/>
      <c r="I5" s="32"/>
      <c r="L5" s="32"/>
      <c r="M5" s="32"/>
      <c r="N5" s="32"/>
    </row>
    <row r="6" spans="2:14" ht="16" thickBot="1">
      <c r="B6" s="2"/>
      <c r="C6" s="2"/>
      <c r="D6" s="2"/>
      <c r="E6" s="2"/>
      <c r="F6" s="2"/>
      <c r="G6" s="2"/>
      <c r="H6" s="2"/>
      <c r="I6" s="32"/>
      <c r="L6" s="32"/>
      <c r="M6" s="32"/>
      <c r="N6" s="32"/>
    </row>
    <row r="7" spans="2:14" ht="16" thickBot="1">
      <c r="B7" s="257" t="s">
        <v>49</v>
      </c>
      <c r="C7" s="258"/>
      <c r="D7" s="2"/>
      <c r="E7" s="259" t="s">
        <v>55</v>
      </c>
      <c r="F7" s="261"/>
      <c r="G7" s="261"/>
      <c r="H7" s="260"/>
      <c r="I7" s="32"/>
      <c r="L7" s="32"/>
      <c r="M7" s="32"/>
      <c r="N7" s="32"/>
    </row>
    <row r="8" spans="2:14">
      <c r="B8" s="35" t="s">
        <v>53</v>
      </c>
      <c r="C8" s="130"/>
      <c r="D8" s="2"/>
      <c r="E8" s="220" t="s">
        <v>34</v>
      </c>
      <c r="F8" s="214" t="s">
        <v>56</v>
      </c>
      <c r="G8" s="221" t="s">
        <v>57</v>
      </c>
      <c r="H8" s="222" t="s">
        <v>9</v>
      </c>
      <c r="I8" s="32"/>
      <c r="L8" s="32"/>
      <c r="M8" s="32"/>
      <c r="N8" s="32"/>
    </row>
    <row r="9" spans="2:14">
      <c r="B9" s="36" t="s">
        <v>35</v>
      </c>
      <c r="C9" s="37">
        <f>ROUND(C10/2087,2)</f>
        <v>73.099999999999994</v>
      </c>
      <c r="D9" s="2"/>
      <c r="E9" s="251" t="s">
        <v>158</v>
      </c>
      <c r="F9" s="252"/>
      <c r="G9" s="253"/>
      <c r="H9" s="223">
        <f>SUM(H10:H17)</f>
        <v>361.65</v>
      </c>
      <c r="I9" s="32"/>
      <c r="L9" s="32"/>
      <c r="M9" s="32"/>
      <c r="N9" s="32"/>
    </row>
    <row r="10" spans="2:14" s="2" customFormat="1">
      <c r="B10" s="36" t="s">
        <v>54</v>
      </c>
      <c r="C10" s="131">
        <v>152565</v>
      </c>
      <c r="E10" s="41" t="s">
        <v>71</v>
      </c>
      <c r="F10" s="189"/>
      <c r="G10" s="138">
        <v>257.81</v>
      </c>
      <c r="H10" s="224">
        <f>IF(F10="",G10,$C$9*80*F10)</f>
        <v>257.81</v>
      </c>
      <c r="I10" s="32"/>
      <c r="L10" s="32"/>
      <c r="M10" s="32"/>
      <c r="N10" s="32"/>
    </row>
    <row r="11" spans="2:14" s="2" customFormat="1">
      <c r="B11" s="43" t="s">
        <v>69</v>
      </c>
      <c r="C11" s="132">
        <v>6</v>
      </c>
      <c r="E11" s="41" t="s">
        <v>72</v>
      </c>
      <c r="F11" s="189"/>
      <c r="G11" s="138">
        <v>0</v>
      </c>
      <c r="H11" s="224">
        <f>IF(F11="",G11,$C$9*80*F11)</f>
        <v>0</v>
      </c>
      <c r="I11" s="32"/>
      <c r="N11" s="32"/>
    </row>
    <row r="12" spans="2:14" s="2" customFormat="1" ht="16" thickBot="1">
      <c r="B12" s="44" t="s">
        <v>6</v>
      </c>
      <c r="C12" s="133">
        <v>1.6E-2</v>
      </c>
      <c r="E12" s="41" t="s">
        <v>67</v>
      </c>
      <c r="F12" s="189"/>
      <c r="G12" s="138">
        <v>103.84</v>
      </c>
      <c r="H12" s="224">
        <f>IF(F12="",G12,$C$9*80*F12)</f>
        <v>103.84</v>
      </c>
      <c r="I12" s="32"/>
      <c r="N12" s="51"/>
    </row>
    <row r="13" spans="2:14" s="2" customFormat="1" ht="16" thickBot="1">
      <c r="B13" s="32"/>
      <c r="C13" s="32"/>
      <c r="E13" s="211" t="s">
        <v>188</v>
      </c>
      <c r="F13" s="212"/>
      <c r="G13" s="141">
        <v>0</v>
      </c>
      <c r="H13" s="224">
        <f t="shared" ref="H13:H17" si="0">IF(F13="",G13,$C$9*80*F13)</f>
        <v>0</v>
      </c>
      <c r="I13" s="32"/>
      <c r="N13" s="51"/>
    </row>
    <row r="14" spans="2:14" s="2" customFormat="1" ht="16" thickBot="1">
      <c r="B14" s="257" t="s">
        <v>131</v>
      </c>
      <c r="C14" s="258"/>
      <c r="E14" s="136"/>
      <c r="F14" s="143"/>
      <c r="G14" s="141">
        <v>0</v>
      </c>
      <c r="H14" s="224">
        <f t="shared" si="0"/>
        <v>0</v>
      </c>
      <c r="I14" s="32"/>
      <c r="N14" s="51"/>
    </row>
    <row r="15" spans="2:14" s="2" customFormat="1">
      <c r="B15" s="48" t="s">
        <v>78</v>
      </c>
      <c r="C15" s="134" t="s">
        <v>79</v>
      </c>
      <c r="E15" s="136"/>
      <c r="F15" s="143"/>
      <c r="G15" s="141">
        <v>0</v>
      </c>
      <c r="H15" s="224">
        <f t="shared" si="0"/>
        <v>0</v>
      </c>
      <c r="I15" s="32"/>
      <c r="N15" s="51"/>
    </row>
    <row r="16" spans="2:14" s="2" customFormat="1">
      <c r="B16" s="43" t="s">
        <v>84</v>
      </c>
      <c r="C16" s="132">
        <v>0</v>
      </c>
      <c r="E16" s="136"/>
      <c r="F16" s="143"/>
      <c r="G16" s="141">
        <v>0</v>
      </c>
      <c r="H16" s="224">
        <f t="shared" si="0"/>
        <v>0</v>
      </c>
      <c r="I16" s="32"/>
      <c r="L16" s="32"/>
      <c r="M16" s="32"/>
      <c r="N16" s="32"/>
    </row>
    <row r="17" spans="2:14" s="2" customFormat="1">
      <c r="B17" s="43" t="s">
        <v>88</v>
      </c>
      <c r="C17" s="131">
        <v>0</v>
      </c>
      <c r="E17" s="136"/>
      <c r="F17" s="143"/>
      <c r="G17" s="141">
        <v>0</v>
      </c>
      <c r="H17" s="224">
        <f t="shared" si="0"/>
        <v>0</v>
      </c>
      <c r="I17" s="32"/>
      <c r="L17" s="32"/>
      <c r="M17" s="32"/>
      <c r="N17" s="32"/>
    </row>
    <row r="18" spans="2:14" s="2" customFormat="1" ht="16" thickBot="1">
      <c r="B18" s="44" t="s">
        <v>89</v>
      </c>
      <c r="C18" s="135"/>
      <c r="E18" s="251" t="s">
        <v>124</v>
      </c>
      <c r="F18" s="252"/>
      <c r="G18" s="253"/>
      <c r="H18" s="225">
        <f>SUM(H19:H22)</f>
        <v>731</v>
      </c>
      <c r="I18" s="32"/>
      <c r="L18" s="32"/>
      <c r="M18" s="32"/>
      <c r="N18" s="32"/>
    </row>
    <row r="19" spans="2:14" s="2" customFormat="1" ht="16" thickBot="1">
      <c r="E19" s="45" t="s">
        <v>0</v>
      </c>
      <c r="F19" s="137"/>
      <c r="G19" s="141">
        <v>731</v>
      </c>
      <c r="H19" s="224">
        <f>IF(F19="",G19,$C$9*80*F19)</f>
        <v>731</v>
      </c>
      <c r="I19" s="32"/>
      <c r="L19" s="32"/>
      <c r="M19" s="32"/>
      <c r="N19" s="32"/>
    </row>
    <row r="20" spans="2:14" s="2" customFormat="1">
      <c r="B20" s="259" t="s">
        <v>106</v>
      </c>
      <c r="C20" s="260"/>
      <c r="E20" s="136"/>
      <c r="F20" s="137"/>
      <c r="G20" s="141">
        <v>0</v>
      </c>
      <c r="H20" s="224">
        <f>IF(F20="",G20,$C$9*80*F20)</f>
        <v>0</v>
      </c>
      <c r="I20" s="32"/>
      <c r="L20" s="32"/>
      <c r="M20" s="32"/>
      <c r="N20" s="32"/>
    </row>
    <row r="21" spans="2:14" s="2" customFormat="1">
      <c r="B21" s="52" t="s">
        <v>154</v>
      </c>
      <c r="C21" s="191"/>
      <c r="E21" s="136"/>
      <c r="F21" s="137"/>
      <c r="G21" s="141">
        <v>0</v>
      </c>
      <c r="H21" s="224">
        <f>IF(F21="",G21,$C$9*80*F21)</f>
        <v>0</v>
      </c>
      <c r="I21" s="32"/>
      <c r="L21" s="32"/>
      <c r="M21" s="32"/>
      <c r="N21" s="32"/>
    </row>
    <row r="22" spans="2:14">
      <c r="B22" s="52" t="s">
        <v>155</v>
      </c>
      <c r="C22" s="216">
        <v>0</v>
      </c>
      <c r="D22" s="2"/>
      <c r="E22" s="142"/>
      <c r="F22" s="137"/>
      <c r="G22" s="138">
        <v>0</v>
      </c>
      <c r="H22" s="224">
        <f>IF(F22="",G22,$C$9*80*F22)</f>
        <v>0</v>
      </c>
      <c r="I22" s="32"/>
      <c r="L22" s="32"/>
      <c r="M22" s="32"/>
      <c r="N22" s="32"/>
    </row>
    <row r="23" spans="2:14" ht="16" thickBot="1">
      <c r="B23" s="217" t="s">
        <v>169</v>
      </c>
      <c r="C23" s="218">
        <f>IF(AND(C21&lt;&gt;0,C22&lt;&gt;0),C21/(C22*24),0)</f>
        <v>0</v>
      </c>
      <c r="D23" s="2"/>
      <c r="E23" s="251" t="s">
        <v>58</v>
      </c>
      <c r="F23" s="252"/>
      <c r="G23" s="253"/>
      <c r="H23" s="223">
        <f>SUM(H24:H36)</f>
        <v>72.25</v>
      </c>
      <c r="I23" s="32"/>
      <c r="L23" s="32"/>
      <c r="M23" s="32"/>
      <c r="N23" s="32"/>
    </row>
    <row r="24" spans="2:14" s="2" customFormat="1" ht="16" thickBot="1">
      <c r="E24" s="215" t="s">
        <v>192</v>
      </c>
      <c r="F24" s="137"/>
      <c r="G24" s="138">
        <v>35</v>
      </c>
      <c r="H24" s="224">
        <f t="shared" ref="H24:H36" si="1">IF(F24="",G24,$C$9*80*F24)</f>
        <v>35</v>
      </c>
      <c r="I24" s="32"/>
      <c r="L24" s="32"/>
      <c r="M24" s="32"/>
      <c r="N24" s="32"/>
    </row>
    <row r="25" spans="2:14" s="2" customFormat="1">
      <c r="B25" s="254" t="s">
        <v>156</v>
      </c>
      <c r="C25" s="255"/>
      <c r="E25" s="215" t="s">
        <v>181</v>
      </c>
      <c r="F25" s="137"/>
      <c r="G25" s="138">
        <v>0</v>
      </c>
      <c r="H25" s="224">
        <f t="shared" si="1"/>
        <v>0</v>
      </c>
      <c r="I25" s="32"/>
      <c r="L25" s="32"/>
      <c r="M25" s="32"/>
      <c r="N25" s="32"/>
    </row>
    <row r="26" spans="2:14" s="2" customFormat="1">
      <c r="B26" s="64" t="s">
        <v>32</v>
      </c>
      <c r="C26" s="152">
        <v>0.68055555555555547</v>
      </c>
      <c r="E26" s="215" t="s">
        <v>2</v>
      </c>
      <c r="F26" s="137"/>
      <c r="G26" s="138">
        <v>0</v>
      </c>
      <c r="H26" s="224">
        <f t="shared" si="1"/>
        <v>0</v>
      </c>
      <c r="I26" s="32"/>
      <c r="L26" s="32"/>
      <c r="M26" s="32"/>
      <c r="N26" s="32"/>
    </row>
    <row r="27" spans="2:14" s="2" customFormat="1">
      <c r="B27" s="64" t="s">
        <v>41</v>
      </c>
      <c r="C27" s="152" t="s">
        <v>40</v>
      </c>
      <c r="E27" s="215" t="s">
        <v>66</v>
      </c>
      <c r="F27" s="137"/>
      <c r="G27" s="138">
        <v>0</v>
      </c>
      <c r="H27" s="224">
        <f t="shared" si="1"/>
        <v>0</v>
      </c>
      <c r="I27" s="32"/>
      <c r="L27" s="32"/>
      <c r="M27" s="32"/>
      <c r="N27" s="32"/>
    </row>
    <row r="28" spans="2:14" s="2" customFormat="1" ht="15" customHeight="1">
      <c r="B28" s="64" t="s">
        <v>38</v>
      </c>
      <c r="C28" s="152">
        <v>4.1666666666666664E-2</v>
      </c>
      <c r="E28" s="215" t="s">
        <v>182</v>
      </c>
      <c r="F28" s="137"/>
      <c r="G28" s="138">
        <v>0</v>
      </c>
      <c r="H28" s="224">
        <f t="shared" si="1"/>
        <v>0</v>
      </c>
      <c r="I28" s="32"/>
      <c r="J28" s="32"/>
      <c r="K28" s="32"/>
      <c r="L28" s="32"/>
      <c r="M28" s="32"/>
      <c r="N28" s="32"/>
    </row>
    <row r="29" spans="2:14" s="2" customFormat="1" ht="16" customHeight="1">
      <c r="B29" s="64" t="s">
        <v>39</v>
      </c>
      <c r="C29" s="153" t="s">
        <v>196</v>
      </c>
      <c r="E29" s="215" t="s">
        <v>183</v>
      </c>
      <c r="F29" s="137"/>
      <c r="G29" s="138">
        <v>0</v>
      </c>
      <c r="H29" s="224">
        <f t="shared" si="1"/>
        <v>0</v>
      </c>
    </row>
    <row r="30" spans="2:14" ht="16" customHeight="1">
      <c r="B30" s="64" t="s">
        <v>44</v>
      </c>
      <c r="C30" s="152">
        <v>0.20833333333333334</v>
      </c>
      <c r="D30" s="2"/>
      <c r="E30" s="215" t="s">
        <v>184</v>
      </c>
      <c r="F30" s="137"/>
      <c r="G30" s="138">
        <v>0</v>
      </c>
      <c r="H30" s="224">
        <f t="shared" si="1"/>
        <v>0</v>
      </c>
    </row>
    <row r="31" spans="2:14" ht="16" customHeight="1" thickBot="1">
      <c r="B31" s="66" t="s">
        <v>45</v>
      </c>
      <c r="C31" s="154">
        <v>8.3333333333333329E-2</v>
      </c>
      <c r="E31" s="215" t="s">
        <v>185</v>
      </c>
      <c r="F31" s="137"/>
      <c r="G31" s="138">
        <v>22.35</v>
      </c>
      <c r="H31" s="224">
        <f t="shared" si="1"/>
        <v>22.35</v>
      </c>
    </row>
    <row r="32" spans="2:14" ht="16" customHeight="1">
      <c r="B32" s="82"/>
      <c r="C32" s="84"/>
      <c r="D32" s="2"/>
      <c r="E32" s="215" t="s">
        <v>186</v>
      </c>
      <c r="F32" s="137"/>
      <c r="G32" s="138">
        <v>0.2</v>
      </c>
      <c r="H32" s="224">
        <f t="shared" si="1"/>
        <v>0.2</v>
      </c>
      <c r="J32" s="2"/>
    </row>
    <row r="33" spans="2:10" ht="16" customHeight="1">
      <c r="B33" s="2"/>
      <c r="C33" s="2"/>
      <c r="D33" s="2"/>
      <c r="E33" s="215" t="s">
        <v>187</v>
      </c>
      <c r="F33" s="137"/>
      <c r="G33" s="138">
        <v>14.7</v>
      </c>
      <c r="H33" s="224">
        <f t="shared" si="1"/>
        <v>14.7</v>
      </c>
    </row>
    <row r="34" spans="2:10">
      <c r="B34" s="2"/>
      <c r="C34" s="2"/>
      <c r="D34" s="2"/>
      <c r="E34" s="136"/>
      <c r="F34" s="137"/>
      <c r="G34" s="138">
        <v>0</v>
      </c>
      <c r="H34" s="224">
        <f t="shared" si="1"/>
        <v>0</v>
      </c>
    </row>
    <row r="35" spans="2:10">
      <c r="B35" s="2"/>
      <c r="C35" s="2"/>
      <c r="D35" s="2"/>
      <c r="E35" s="136"/>
      <c r="F35" s="137"/>
      <c r="G35" s="138">
        <v>0</v>
      </c>
      <c r="H35" s="224">
        <f t="shared" si="1"/>
        <v>0</v>
      </c>
    </row>
    <row r="36" spans="2:10" s="2" customFormat="1" ht="16" thickBot="1">
      <c r="B36"/>
      <c r="C36"/>
      <c r="D36"/>
      <c r="E36" s="139"/>
      <c r="F36" s="140"/>
      <c r="G36" s="219">
        <v>0</v>
      </c>
      <c r="H36" s="226">
        <f t="shared" si="1"/>
        <v>0</v>
      </c>
      <c r="J36" s="192" t="str">
        <f>UPDATED</f>
        <v>Updated 2/20/2019</v>
      </c>
    </row>
    <row r="37" spans="2:10" s="2" customFormat="1">
      <c r="B37"/>
      <c r="C37"/>
      <c r="D37"/>
      <c r="E37"/>
      <c r="F37"/>
      <c r="G37"/>
      <c r="H37"/>
      <c r="J37"/>
    </row>
    <row r="38" spans="2:10" s="2" customFormat="1">
      <c r="B38"/>
      <c r="C38"/>
      <c r="D38"/>
      <c r="E38"/>
      <c r="F38"/>
      <c r="G38"/>
      <c r="H38"/>
      <c r="J38"/>
    </row>
    <row r="39" spans="2:10" s="2" customFormat="1">
      <c r="B39"/>
      <c r="C39"/>
      <c r="D39"/>
      <c r="E39"/>
      <c r="F39"/>
      <c r="G39"/>
      <c r="H39"/>
      <c r="J39"/>
    </row>
  </sheetData>
  <sheetProtection algorithmName="SHA-512" hashValue="673cNtxUAUNf9eMwtxGTMusGanGEd21wFVQ8bHIb9CINJ9bFrmxlESMaSl1czJb/xRHws6oArZ8IdOuFLKEu8w==" saltValue="BJKhPtr1DOiqv4xeBvqTHg==" spinCount="100000" sheet="1" objects="1" scenarios="1" selectLockedCells="1"/>
  <mergeCells count="9">
    <mergeCell ref="E23:G23"/>
    <mergeCell ref="B25:C25"/>
    <mergeCell ref="B2:H3"/>
    <mergeCell ref="B7:C7"/>
    <mergeCell ref="B14:C14"/>
    <mergeCell ref="B20:C20"/>
    <mergeCell ref="E7:H7"/>
    <mergeCell ref="E9:G9"/>
    <mergeCell ref="E18:G18"/>
  </mergeCells>
  <dataValidations count="8">
    <dataValidation allowBlank="1" showInputMessage="1" showErrorMessage="1" promptTitle="Annual Salary " prompt="Enter annual salary from recent LES. Hourly rate will be calculated automatically." sqref="C10" xr:uid="{9674CC5F-F570-AA4E-BB8F-7A368F6240D4}"/>
    <dataValidation allowBlank="1" showInputMessage="1" showErrorMessage="1" promptTitle="Annual Leave Earning Category" prompt="Enter annual leave earning category (4, 6, or 8). Calculator will not automatically add 6 hours to last pay period of year, this must be automatically added to &quot;Leave Starting Balance&quot;" sqref="C11" xr:uid="{9D334105-3178-D24D-8183-F4D1CBEDD8FB}"/>
    <dataValidation allowBlank="1" showInputMessage="1" showErrorMessage="1" promptTitle="FERS" prompt="Located in MISC column next to Retirement - FERS in deductions section." sqref="C12" xr:uid="{91EDCC8C-C1D1-AE42-9B1E-60AC49793937}"/>
    <dataValidation allowBlank="1" showInputMessage="1" showErrorMessage="1" promptTitle="Federal Tax Exemptions" prompt="Enter number of exemptions/allowances claimed on W-4 for Federal Taxes." sqref="C16" xr:uid="{353448EC-FD14-454E-9FE7-B07BD2AADA8B}"/>
    <dataValidation allowBlank="1" showInputMessage="1" showErrorMessage="1" promptTitle="Federal Tax Additional" prompt="Enter amount to withhold for Federal Taxes in addition to calculated amount." sqref="C17" xr:uid="{FBD186BD-3D5F-D743-8860-050E75F7A61B}"/>
    <dataValidation allowBlank="1" showInputMessage="1" showErrorMessage="1" promptTitle="OASDI Override" prompt="Enter an amount to override the OASDI/FICA calculated tax. Delete any amount from this box to calculate the OASDI, as $0 is a valid amount." sqref="C18" xr:uid="{7566F379-600E-4F48-A4C1-50B332BC1C18}"/>
    <dataValidation allowBlank="1" showInputMessage="1" showErrorMessage="1" promptTitle="CIP $ Amount" prompt="Enter the CIP received for the chosen pay period. This amount is in the &quot;Current&quot; column in the &quot;Earnings&quot; section." sqref="C21" xr:uid="{203B7710-962D-EA48-86A7-B720BA8F489F}"/>
    <dataValidation allowBlank="1" showInputMessage="1" showErrorMessage="1" promptTitle="CIP Hours Worked" prompt="Enter the hours worked for CIP calculation purposes, located in the &quot;Hours&quot; column to the left of the &quot;Current&quot; amount received." sqref="C22" xr:uid="{68E9960D-188C-0140-9754-FABC378EE99F}"/>
  </dataValidations>
  <hyperlinks>
    <hyperlink ref="C4" r:id="rId1" xr:uid="{18A88037-0998-E948-B95E-0DB836DBE40C}"/>
    <hyperlink ref="C5" r:id="rId2" xr:uid="{0E966583-9E2C-8C49-A40F-860B6BE177B4}"/>
  </hyperlinks>
  <pageMargins left="0.25" right="0.25" top="0.75" bottom="0.75" header="0.3" footer="0.3"/>
  <pageSetup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promptTitle="Filing Status Federal/State" prompt="Enter filing status for Federal and/or State taxes." xr:uid="{CB486F62-129E-7643-8E76-51F7410E4969}">
          <x14:formula1>
            <xm:f>'DO NOT EDIT - DEFINITIONS'!$L$2:$L$3</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3AB8F-304C-424E-9A96-24E5F9121A69}">
  <sheetPr codeName="Sheet5"/>
  <dimension ref="B1:W35"/>
  <sheetViews>
    <sheetView showGridLines="0" zoomScale="150" zoomScaleNormal="150" workbookViewId="0">
      <selection activeCell="D32" sqref="D32"/>
    </sheetView>
  </sheetViews>
  <sheetFormatPr baseColWidth="10" defaultRowHeight="14"/>
  <cols>
    <col min="1" max="1" width="0.5" style="82" customWidth="1"/>
    <col min="2" max="2" width="13.33203125" style="83" customWidth="1"/>
    <col min="3" max="3" width="19" style="83" customWidth="1"/>
    <col min="4" max="4" width="10.5" style="82" customWidth="1"/>
    <col min="5" max="11" width="7.1640625" style="84" customWidth="1"/>
    <col min="12" max="12" width="7.1640625" style="82" customWidth="1"/>
    <col min="13" max="15" width="7.1640625" style="84" customWidth="1"/>
    <col min="16" max="18" width="7.1640625" style="85" customWidth="1"/>
    <col min="19" max="19" width="4.5" style="86" customWidth="1"/>
    <col min="20" max="20" width="27" style="86" customWidth="1"/>
    <col min="21" max="21" width="27.83203125" style="82" customWidth="1"/>
    <col min="22" max="22" width="21.6640625" style="82" customWidth="1"/>
    <col min="23" max="16384" width="10.83203125" style="82"/>
  </cols>
  <sheetData>
    <row r="1" spans="2:20" ht="3" customHeight="1" thickBot="1"/>
    <row r="2" spans="2:20" ht="14" customHeight="1">
      <c r="B2" s="259" t="s">
        <v>4</v>
      </c>
      <c r="C2" s="260"/>
      <c r="E2" s="271" t="s">
        <v>195</v>
      </c>
      <c r="F2" s="271"/>
      <c r="G2" s="271"/>
      <c r="H2" s="271"/>
      <c r="I2" s="271"/>
      <c r="J2" s="271"/>
      <c r="K2" s="271"/>
      <c r="L2" s="271"/>
      <c r="M2" s="271"/>
      <c r="N2" s="271"/>
      <c r="O2" s="271"/>
    </row>
    <row r="3" spans="2:20">
      <c r="B3" s="87" t="s">
        <v>75</v>
      </c>
      <c r="C3" s="161">
        <v>2019</v>
      </c>
      <c r="E3" s="271"/>
      <c r="F3" s="271"/>
      <c r="G3" s="271"/>
      <c r="H3" s="271"/>
      <c r="I3" s="271"/>
      <c r="J3" s="271"/>
      <c r="K3" s="271"/>
      <c r="L3" s="271"/>
      <c r="M3" s="271"/>
      <c r="N3" s="271"/>
      <c r="O3" s="271"/>
    </row>
    <row r="4" spans="2:20" ht="15" thickBot="1">
      <c r="B4" s="88" t="s">
        <v>4</v>
      </c>
      <c r="C4" s="162">
        <v>3</v>
      </c>
      <c r="E4" s="271"/>
      <c r="F4" s="271"/>
      <c r="G4" s="271"/>
      <c r="H4" s="271"/>
      <c r="I4" s="271"/>
      <c r="J4" s="271"/>
      <c r="K4" s="271"/>
      <c r="L4" s="271"/>
      <c r="M4" s="271"/>
      <c r="N4" s="271"/>
      <c r="O4" s="271"/>
    </row>
    <row r="5" spans="2:20" ht="15" thickBot="1">
      <c r="B5" s="184"/>
      <c r="C5" s="89"/>
      <c r="E5" s="272"/>
      <c r="F5" s="272"/>
      <c r="G5" s="272"/>
      <c r="H5" s="272"/>
      <c r="I5" s="272"/>
      <c r="J5" s="272"/>
      <c r="K5" s="272"/>
      <c r="L5" s="272"/>
      <c r="M5" s="272"/>
      <c r="N5" s="272"/>
      <c r="O5" s="272"/>
    </row>
    <row r="6" spans="2:20">
      <c r="B6" s="278" t="s">
        <v>47</v>
      </c>
      <c r="C6" s="279"/>
      <c r="D6" s="276" t="s">
        <v>48</v>
      </c>
      <c r="E6" s="276"/>
      <c r="F6" s="276"/>
      <c r="G6" s="276"/>
      <c r="H6" s="276" t="s">
        <v>33</v>
      </c>
      <c r="I6" s="276"/>
      <c r="J6" s="276"/>
      <c r="K6" s="276"/>
      <c r="L6" s="276" t="s">
        <v>10</v>
      </c>
      <c r="M6" s="276"/>
      <c r="N6" s="276"/>
      <c r="O6" s="277"/>
      <c r="P6" s="275" t="s">
        <v>165</v>
      </c>
      <c r="Q6" s="276"/>
      <c r="R6" s="277"/>
      <c r="S6" s="32"/>
      <c r="T6" s="82"/>
    </row>
    <row r="7" spans="2:20" ht="15" thickBot="1">
      <c r="B7" s="280"/>
      <c r="C7" s="281"/>
      <c r="D7" s="90" t="s">
        <v>11</v>
      </c>
      <c r="E7" s="91" t="s">
        <v>18</v>
      </c>
      <c r="F7" s="91" t="s">
        <v>19</v>
      </c>
      <c r="G7" s="91" t="s">
        <v>12</v>
      </c>
      <c r="H7" s="90" t="s">
        <v>34</v>
      </c>
      <c r="I7" s="91" t="s">
        <v>18</v>
      </c>
      <c r="J7" s="91" t="s">
        <v>19</v>
      </c>
      <c r="K7" s="91" t="s">
        <v>12</v>
      </c>
      <c r="L7" s="90" t="s">
        <v>11</v>
      </c>
      <c r="M7" s="91" t="s">
        <v>18</v>
      </c>
      <c r="N7" s="91" t="s">
        <v>19</v>
      </c>
      <c r="O7" s="92" t="s">
        <v>12</v>
      </c>
      <c r="P7" s="182" t="s">
        <v>166</v>
      </c>
      <c r="Q7" s="183" t="s">
        <v>167</v>
      </c>
      <c r="R7" s="185" t="s">
        <v>103</v>
      </c>
      <c r="S7" s="82"/>
      <c r="T7" s="82"/>
    </row>
    <row r="8" spans="2:20">
      <c r="B8" s="93">
        <f>C8</f>
        <v>43485</v>
      </c>
      <c r="C8" s="94">
        <f>VLOOKUP(EMP_YEAR,DEF_PPS_DATES,2)+(EMP_PP-1)*14</f>
        <v>43485</v>
      </c>
      <c r="D8" s="144" t="s">
        <v>15</v>
      </c>
      <c r="E8" s="145">
        <v>0</v>
      </c>
      <c r="F8" s="145">
        <v>0.33333333333333331</v>
      </c>
      <c r="G8" s="95">
        <f>IF(D8="RDO",0,MOD(F8-E8,1))</f>
        <v>0.33333333333333331</v>
      </c>
      <c r="H8" s="144"/>
      <c r="I8" s="145"/>
      <c r="J8" s="145"/>
      <c r="K8" s="95">
        <f>MOD(J8-I8,1)</f>
        <v>0</v>
      </c>
      <c r="L8" s="148"/>
      <c r="M8" s="149"/>
      <c r="N8" s="149"/>
      <c r="O8" s="96">
        <f>MOD(N8-M8,1)</f>
        <v>0</v>
      </c>
      <c r="P8" s="97">
        <f t="shared" ref="P8:P21" si="0">IF(OR(D8="EARN CREDIT",D8="LEAVE",D8="RDO"),0,MOD($F8-$E8,1)-($F8&lt;$E8)*(DEF_NIGHT_DIF_START-DEF_NIGHT_DIF_END)+MEDIAN($E8,DEF_NIGHT_DIF_START,DEF_NIGHT_DIF_END)-MEDIAN($F8,DEF_NIGHT_DIF_START,DEF_NIGHT_DIF_END)-IF(H8="FURLOUGH",0,MOD($J8-$I8,1)-($J8&lt;$I8)*(DEF_NIGHT_DIF_START-DEF_NIGHT_DIF_END)+MEDIAN($I8,DEF_NIGHT_DIF_START,DEF_NIGHT_DIF_END)-MEDIAN($J8,DEF_NIGHT_DIF_START,DEF_NIGHT_DIF_END)))+IF(L8="OVERTIME",MOD($N8-$M8,1)-($N8&lt;$M8)*(DEF_NIGHT_DIF_START-DEF_NIGHT_DIF_END)+MEDIAN($M8,DEF_NIGHT_DIF_START,DEF_NIGHT_DIF_END)-MEDIAN($N8,DEF_NIGHT_DIF_START,DEF_NIGHT_DIF_END),0)</f>
        <v>0.24999999999999994</v>
      </c>
      <c r="Q8" s="98">
        <f>G8+IF(L8="OVERTIME",O8,0)-IF(H8="",0,K8)-IF(AND(E8&gt;DEF_SUNDAY_START,E8&lt;DEF_SUNDAY_END),1-E8,0)-IF(F8&lt;5/24,(1+F8)-1,0)</f>
        <v>0.33333333333333331</v>
      </c>
      <c r="R8" s="186">
        <f>IF(D8="HOLIDAY",G8+IF(L8="OVERTIME",O8,0)-IF(H8="",0,K8),0)</f>
        <v>0</v>
      </c>
      <c r="S8" s="82"/>
      <c r="T8" s="82"/>
    </row>
    <row r="9" spans="2:20">
      <c r="B9" s="99">
        <f t="shared" ref="B9:B21" si="1">C9</f>
        <v>43486</v>
      </c>
      <c r="C9" s="100">
        <f>C8+1</f>
        <v>43486</v>
      </c>
      <c r="D9" s="144" t="s">
        <v>13</v>
      </c>
      <c r="E9" s="145"/>
      <c r="F9" s="145"/>
      <c r="G9" s="95">
        <f t="shared" ref="G9:G21" si="2">IF(D9="RDO",0,MOD(F9-E9,1))</f>
        <v>0</v>
      </c>
      <c r="H9" s="144"/>
      <c r="I9" s="145"/>
      <c r="J9" s="145"/>
      <c r="K9" s="101">
        <f t="shared" ref="K9:K21" si="3">MOD(J9-I9,1)</f>
        <v>0</v>
      </c>
      <c r="L9" s="148"/>
      <c r="M9" s="149"/>
      <c r="N9" s="149"/>
      <c r="O9" s="102">
        <f t="shared" ref="O9:O21" si="4">MOD(N9-M9,1)</f>
        <v>0</v>
      </c>
      <c r="P9" s="97">
        <f t="shared" si="0"/>
        <v>0</v>
      </c>
      <c r="Q9" s="98">
        <f>IF(AND(E9&gt;DEF_SUNDAY_START,E9&lt;DEF_SUNDAY_END),1-E9,0)</f>
        <v>0</v>
      </c>
      <c r="R9" s="186">
        <f t="shared" ref="R9:R21" si="5">IF(D9="HOLIDAY",G9+IF(L9="OVERTIME",O9,0)-IF(H9="",0,K9),0)</f>
        <v>0</v>
      </c>
      <c r="S9" s="82"/>
      <c r="T9" s="82"/>
    </row>
    <row r="10" spans="2:20">
      <c r="B10" s="99">
        <f t="shared" si="1"/>
        <v>43487</v>
      </c>
      <c r="C10" s="100">
        <f t="shared" ref="C10:C21" si="6">C9+1</f>
        <v>43487</v>
      </c>
      <c r="D10" s="144" t="s">
        <v>13</v>
      </c>
      <c r="E10" s="145"/>
      <c r="F10" s="145"/>
      <c r="G10" s="95">
        <f t="shared" si="2"/>
        <v>0</v>
      </c>
      <c r="H10" s="144"/>
      <c r="I10" s="145"/>
      <c r="J10" s="145"/>
      <c r="K10" s="101">
        <f t="shared" si="3"/>
        <v>0</v>
      </c>
      <c r="L10" s="144"/>
      <c r="M10" s="145"/>
      <c r="N10" s="145"/>
      <c r="O10" s="102">
        <f t="shared" si="4"/>
        <v>0</v>
      </c>
      <c r="P10" s="97">
        <f t="shared" si="0"/>
        <v>0</v>
      </c>
      <c r="Q10" s="98"/>
      <c r="R10" s="186">
        <f t="shared" si="5"/>
        <v>0</v>
      </c>
      <c r="S10" s="82"/>
      <c r="T10" s="198"/>
    </row>
    <row r="11" spans="2:20">
      <c r="B11" s="99">
        <f t="shared" si="1"/>
        <v>43488</v>
      </c>
      <c r="C11" s="100">
        <f t="shared" si="6"/>
        <v>43488</v>
      </c>
      <c r="D11" s="144" t="s">
        <v>15</v>
      </c>
      <c r="E11" s="145">
        <v>0.66666666666666663</v>
      </c>
      <c r="F11" s="145">
        <v>0</v>
      </c>
      <c r="G11" s="95">
        <f t="shared" si="2"/>
        <v>0.33333333333333337</v>
      </c>
      <c r="H11" s="144" t="s">
        <v>25</v>
      </c>
      <c r="I11" s="145">
        <v>0.66666666666666663</v>
      </c>
      <c r="J11" s="145">
        <v>0</v>
      </c>
      <c r="K11" s="101">
        <f t="shared" si="3"/>
        <v>0.33333333333333337</v>
      </c>
      <c r="L11" s="148"/>
      <c r="M11" s="149"/>
      <c r="N11" s="149"/>
      <c r="O11" s="102">
        <f t="shared" si="4"/>
        <v>0</v>
      </c>
      <c r="P11" s="97">
        <f t="shared" si="0"/>
        <v>0</v>
      </c>
      <c r="Q11" s="98"/>
      <c r="R11" s="186">
        <f t="shared" si="5"/>
        <v>0</v>
      </c>
      <c r="S11" s="82"/>
      <c r="T11" s="82"/>
    </row>
    <row r="12" spans="2:20">
      <c r="B12" s="99">
        <f t="shared" si="1"/>
        <v>43489</v>
      </c>
      <c r="C12" s="100">
        <f t="shared" si="6"/>
        <v>43489</v>
      </c>
      <c r="D12" s="144" t="s">
        <v>15</v>
      </c>
      <c r="E12" s="145">
        <v>0.58333333333333337</v>
      </c>
      <c r="F12" s="145">
        <v>0.91666666666666663</v>
      </c>
      <c r="G12" s="95">
        <f t="shared" si="2"/>
        <v>0.33333333333333326</v>
      </c>
      <c r="H12" s="144"/>
      <c r="I12" s="145"/>
      <c r="J12" s="145"/>
      <c r="K12" s="101">
        <f t="shared" si="3"/>
        <v>0</v>
      </c>
      <c r="L12" s="144"/>
      <c r="M12" s="145"/>
      <c r="N12" s="145"/>
      <c r="O12" s="102">
        <f t="shared" si="4"/>
        <v>0</v>
      </c>
      <c r="P12" s="97">
        <f t="shared" si="0"/>
        <v>0.16666666666666663</v>
      </c>
      <c r="Q12" s="98"/>
      <c r="R12" s="186">
        <f t="shared" si="5"/>
        <v>0</v>
      </c>
      <c r="S12" s="82"/>
      <c r="T12" s="82"/>
    </row>
    <row r="13" spans="2:20">
      <c r="B13" s="99">
        <f t="shared" si="1"/>
        <v>43490</v>
      </c>
      <c r="C13" s="100">
        <f t="shared" si="6"/>
        <v>43490</v>
      </c>
      <c r="D13" s="144" t="s">
        <v>15</v>
      </c>
      <c r="E13" s="145">
        <v>0.33333333333333331</v>
      </c>
      <c r="F13" s="145">
        <v>0.66666666666666663</v>
      </c>
      <c r="G13" s="95">
        <f t="shared" si="2"/>
        <v>0.33333333333333331</v>
      </c>
      <c r="H13" s="144"/>
      <c r="I13" s="145"/>
      <c r="J13" s="145"/>
      <c r="K13" s="101">
        <f t="shared" si="3"/>
        <v>0</v>
      </c>
      <c r="L13" s="144"/>
      <c r="M13" s="145"/>
      <c r="N13" s="145"/>
      <c r="O13" s="102">
        <f t="shared" si="4"/>
        <v>0</v>
      </c>
      <c r="P13" s="97">
        <f t="shared" si="0"/>
        <v>0</v>
      </c>
      <c r="Q13" s="98"/>
      <c r="R13" s="186">
        <f t="shared" si="5"/>
        <v>0</v>
      </c>
      <c r="S13" s="82"/>
      <c r="T13" s="82"/>
    </row>
    <row r="14" spans="2:20">
      <c r="B14" s="99">
        <f t="shared" si="1"/>
        <v>43491</v>
      </c>
      <c r="C14" s="100">
        <f t="shared" si="6"/>
        <v>43491</v>
      </c>
      <c r="D14" s="144" t="s">
        <v>15</v>
      </c>
      <c r="E14" s="145">
        <v>0.25</v>
      </c>
      <c r="F14" s="145">
        <v>0.58333333333333337</v>
      </c>
      <c r="G14" s="95">
        <f t="shared" si="2"/>
        <v>0.33333333333333337</v>
      </c>
      <c r="H14" s="144"/>
      <c r="I14" s="145"/>
      <c r="J14" s="150"/>
      <c r="K14" s="101">
        <f t="shared" si="3"/>
        <v>0</v>
      </c>
      <c r="L14" s="144" t="s">
        <v>21</v>
      </c>
      <c r="M14" s="145">
        <v>0.99583333333333324</v>
      </c>
      <c r="N14" s="150">
        <v>0</v>
      </c>
      <c r="O14" s="102">
        <f t="shared" si="4"/>
        <v>4.1666666666667629E-3</v>
      </c>
      <c r="P14" s="97">
        <f t="shared" si="0"/>
        <v>4.1666666666667629E-3</v>
      </c>
      <c r="Q14" s="98"/>
      <c r="R14" s="186">
        <f t="shared" si="5"/>
        <v>0</v>
      </c>
      <c r="S14" s="82"/>
      <c r="T14" s="82"/>
    </row>
    <row r="15" spans="2:20">
      <c r="B15" s="99">
        <f t="shared" si="1"/>
        <v>43492</v>
      </c>
      <c r="C15" s="100">
        <f t="shared" si="6"/>
        <v>43492</v>
      </c>
      <c r="D15" s="144" t="s">
        <v>15</v>
      </c>
      <c r="E15" s="145">
        <v>0</v>
      </c>
      <c r="F15" s="145">
        <v>0.33333333333333331</v>
      </c>
      <c r="G15" s="95">
        <f t="shared" si="2"/>
        <v>0.33333333333333331</v>
      </c>
      <c r="H15" s="144" t="s">
        <v>26</v>
      </c>
      <c r="I15" s="145">
        <v>0</v>
      </c>
      <c r="J15" s="145">
        <v>0.33333333333333331</v>
      </c>
      <c r="K15" s="101">
        <f t="shared" si="3"/>
        <v>0.33333333333333331</v>
      </c>
      <c r="L15" s="144"/>
      <c r="M15" s="145"/>
      <c r="N15" s="150"/>
      <c r="O15" s="102">
        <f t="shared" si="4"/>
        <v>0</v>
      </c>
      <c r="P15" s="97">
        <f t="shared" si="0"/>
        <v>0</v>
      </c>
      <c r="Q15" s="98">
        <f>G15+IF(L15="OVERTIME",O15,0)-IF(H15="",0,K15)-IF(AND(E15&gt;DEF_SUNDAY_START,E15&lt;DEF_SUNDAY_END),1-E15,0)-IF(F15&lt;5/24,(1+F15)-1,0)</f>
        <v>0</v>
      </c>
      <c r="R15" s="186">
        <f t="shared" si="5"/>
        <v>0</v>
      </c>
      <c r="S15" s="82"/>
      <c r="T15" s="82"/>
    </row>
    <row r="16" spans="2:20">
      <c r="B16" s="99">
        <f t="shared" si="1"/>
        <v>43493</v>
      </c>
      <c r="C16" s="100">
        <f t="shared" si="6"/>
        <v>43493</v>
      </c>
      <c r="D16" s="144" t="s">
        <v>13</v>
      </c>
      <c r="E16" s="145"/>
      <c r="F16" s="145"/>
      <c r="G16" s="95">
        <f t="shared" si="2"/>
        <v>0</v>
      </c>
      <c r="H16" s="144"/>
      <c r="I16" s="145"/>
      <c r="J16" s="145"/>
      <c r="K16" s="101">
        <f t="shared" si="3"/>
        <v>0</v>
      </c>
      <c r="L16" s="144"/>
      <c r="M16" s="145"/>
      <c r="N16" s="145"/>
      <c r="O16" s="102">
        <f t="shared" si="4"/>
        <v>0</v>
      </c>
      <c r="P16" s="97">
        <f t="shared" si="0"/>
        <v>0</v>
      </c>
      <c r="Q16" s="98">
        <f>IF(AND(E16&gt;DEF_SUNDAY_START,E16&lt;DEF_SUNDAY_END),1-E16,0)</f>
        <v>0</v>
      </c>
      <c r="R16" s="186">
        <f t="shared" si="5"/>
        <v>0</v>
      </c>
      <c r="S16" s="82"/>
      <c r="T16" s="82"/>
    </row>
    <row r="17" spans="2:23">
      <c r="B17" s="99">
        <f t="shared" si="1"/>
        <v>43494</v>
      </c>
      <c r="C17" s="100">
        <f t="shared" si="6"/>
        <v>43494</v>
      </c>
      <c r="D17" s="144" t="s">
        <v>13</v>
      </c>
      <c r="E17" s="145"/>
      <c r="F17" s="145"/>
      <c r="G17" s="95">
        <f t="shared" si="2"/>
        <v>0</v>
      </c>
      <c r="H17" s="144"/>
      <c r="I17" s="145"/>
      <c r="J17" s="145"/>
      <c r="K17" s="101">
        <f t="shared" si="3"/>
        <v>0</v>
      </c>
      <c r="L17" s="144"/>
      <c r="M17" s="145"/>
      <c r="N17" s="145"/>
      <c r="O17" s="102">
        <f t="shared" si="4"/>
        <v>0</v>
      </c>
      <c r="P17" s="97">
        <f t="shared" si="0"/>
        <v>0</v>
      </c>
      <c r="Q17" s="98"/>
      <c r="R17" s="186">
        <f t="shared" si="5"/>
        <v>0</v>
      </c>
      <c r="S17" s="82"/>
      <c r="T17" s="82"/>
    </row>
    <row r="18" spans="2:23">
      <c r="B18" s="99">
        <f t="shared" si="1"/>
        <v>43495</v>
      </c>
      <c r="C18" s="100">
        <f t="shared" si="6"/>
        <v>43495</v>
      </c>
      <c r="D18" s="144" t="s">
        <v>15</v>
      </c>
      <c r="E18" s="145">
        <v>0.66666666666666663</v>
      </c>
      <c r="F18" s="145">
        <v>0</v>
      </c>
      <c r="G18" s="95">
        <f t="shared" si="2"/>
        <v>0.33333333333333337</v>
      </c>
      <c r="H18" s="144"/>
      <c r="I18" s="145"/>
      <c r="J18" s="145"/>
      <c r="K18" s="101">
        <f t="shared" si="3"/>
        <v>0</v>
      </c>
      <c r="L18" s="144"/>
      <c r="M18" s="145"/>
      <c r="N18" s="145"/>
      <c r="O18" s="102">
        <f t="shared" si="4"/>
        <v>0</v>
      </c>
      <c r="P18" s="97">
        <f t="shared" si="0"/>
        <v>0.25</v>
      </c>
      <c r="Q18" s="98"/>
      <c r="R18" s="186">
        <f t="shared" si="5"/>
        <v>0</v>
      </c>
      <c r="S18" s="82"/>
      <c r="T18" s="82"/>
    </row>
    <row r="19" spans="2:23">
      <c r="B19" s="99">
        <f t="shared" si="1"/>
        <v>43496</v>
      </c>
      <c r="C19" s="100">
        <f t="shared" si="6"/>
        <v>43496</v>
      </c>
      <c r="D19" s="144" t="s">
        <v>15</v>
      </c>
      <c r="E19" s="145">
        <v>0.58333333333333337</v>
      </c>
      <c r="F19" s="145">
        <v>0.91666666666666663</v>
      </c>
      <c r="G19" s="95">
        <f t="shared" si="2"/>
        <v>0.33333333333333326</v>
      </c>
      <c r="H19" s="144"/>
      <c r="I19" s="145"/>
      <c r="J19" s="145"/>
      <c r="K19" s="101">
        <f t="shared" si="3"/>
        <v>0</v>
      </c>
      <c r="L19" s="144" t="s">
        <v>17</v>
      </c>
      <c r="M19" s="145">
        <v>0.91666666666666663</v>
      </c>
      <c r="N19" s="145">
        <v>0.95833333333333337</v>
      </c>
      <c r="O19" s="102">
        <f t="shared" si="4"/>
        <v>4.1666666666666741E-2</v>
      </c>
      <c r="P19" s="97">
        <f t="shared" si="0"/>
        <v>0.16666666666666663</v>
      </c>
      <c r="Q19" s="98"/>
      <c r="R19" s="186">
        <f t="shared" si="5"/>
        <v>0</v>
      </c>
      <c r="S19" s="82"/>
      <c r="T19" s="82"/>
    </row>
    <row r="20" spans="2:23">
      <c r="B20" s="99">
        <f t="shared" si="1"/>
        <v>43497</v>
      </c>
      <c r="C20" s="100">
        <f t="shared" si="6"/>
        <v>43497</v>
      </c>
      <c r="D20" s="144" t="s">
        <v>15</v>
      </c>
      <c r="E20" s="145">
        <v>0.33333333333333331</v>
      </c>
      <c r="F20" s="145">
        <v>0.66666666666666663</v>
      </c>
      <c r="G20" s="95">
        <f t="shared" si="2"/>
        <v>0.33333333333333331</v>
      </c>
      <c r="H20" s="144"/>
      <c r="I20" s="145"/>
      <c r="J20" s="145"/>
      <c r="K20" s="101">
        <f t="shared" si="3"/>
        <v>0</v>
      </c>
      <c r="L20" s="144"/>
      <c r="M20" s="145"/>
      <c r="N20" s="145"/>
      <c r="O20" s="102">
        <f t="shared" si="4"/>
        <v>0</v>
      </c>
      <c r="P20" s="97">
        <f t="shared" si="0"/>
        <v>0</v>
      </c>
      <c r="Q20" s="98"/>
      <c r="R20" s="186">
        <f t="shared" si="5"/>
        <v>0</v>
      </c>
      <c r="S20" s="82"/>
      <c r="T20" s="82"/>
    </row>
    <row r="21" spans="2:23" ht="15" thickBot="1">
      <c r="B21" s="103">
        <f t="shared" si="1"/>
        <v>43498</v>
      </c>
      <c r="C21" s="104">
        <f t="shared" si="6"/>
        <v>43498</v>
      </c>
      <c r="D21" s="146" t="s">
        <v>15</v>
      </c>
      <c r="E21" s="147">
        <v>0.25</v>
      </c>
      <c r="F21" s="147">
        <v>0.58333333333333337</v>
      </c>
      <c r="G21" s="105">
        <f t="shared" si="2"/>
        <v>0.33333333333333337</v>
      </c>
      <c r="H21" s="146"/>
      <c r="I21" s="147"/>
      <c r="J21" s="151"/>
      <c r="K21" s="105">
        <f t="shared" si="3"/>
        <v>0</v>
      </c>
      <c r="L21" s="146" t="s">
        <v>21</v>
      </c>
      <c r="M21" s="147">
        <v>0.99583333333333324</v>
      </c>
      <c r="N21" s="151">
        <v>0</v>
      </c>
      <c r="O21" s="106">
        <f t="shared" si="4"/>
        <v>4.1666666666667629E-3</v>
      </c>
      <c r="P21" s="97">
        <f t="shared" si="0"/>
        <v>4.1666666666667629E-3</v>
      </c>
      <c r="Q21" s="187"/>
      <c r="R21" s="188">
        <f t="shared" si="5"/>
        <v>0</v>
      </c>
      <c r="S21" s="82"/>
      <c r="T21" s="82"/>
    </row>
    <row r="22" spans="2:23" ht="15" thickBot="1">
      <c r="C22" s="107"/>
      <c r="K22" s="82"/>
      <c r="L22" s="84"/>
      <c r="O22" s="82"/>
    </row>
    <row r="23" spans="2:23" ht="15" customHeight="1">
      <c r="B23" s="262" t="s">
        <v>96</v>
      </c>
      <c r="C23" s="263"/>
      <c r="D23" s="264"/>
      <c r="H23" s="268" t="s">
        <v>90</v>
      </c>
      <c r="I23" s="269"/>
      <c r="J23" s="270"/>
      <c r="N23" s="85"/>
      <c r="O23" s="85"/>
      <c r="Q23" s="86"/>
      <c r="R23" s="86"/>
      <c r="S23" s="82"/>
      <c r="T23" s="82"/>
    </row>
    <row r="24" spans="2:23">
      <c r="B24" s="204" t="s">
        <v>178</v>
      </c>
      <c r="C24" s="205" t="s">
        <v>81</v>
      </c>
      <c r="D24" s="206" t="s">
        <v>179</v>
      </c>
      <c r="E24" s="273" t="s">
        <v>180</v>
      </c>
      <c r="F24" s="274"/>
      <c r="H24" s="111" t="s">
        <v>97</v>
      </c>
      <c r="I24" s="199"/>
      <c r="J24" s="153"/>
      <c r="N24" s="85"/>
      <c r="O24" s="85"/>
      <c r="Q24" s="86"/>
      <c r="R24" s="86"/>
      <c r="S24" s="82"/>
      <c r="T24" s="82"/>
    </row>
    <row r="25" spans="2:23">
      <c r="B25" s="108" t="s">
        <v>36</v>
      </c>
      <c r="C25" s="202">
        <f>SUM(G8:G21)+SUMIF(L8:L21, "OVERTIME", O8:O21)-SUMIF(D8:D21, "EARN CREDIT", G8:G21)</f>
        <v>3.3416666666666668</v>
      </c>
      <c r="D25" s="152"/>
      <c r="E25" s="273"/>
      <c r="F25" s="274"/>
      <c r="H25" s="265" t="s">
        <v>99</v>
      </c>
      <c r="I25" s="266"/>
      <c r="J25" s="267"/>
      <c r="N25" s="85"/>
      <c r="O25" s="85"/>
      <c r="Q25" s="86"/>
      <c r="R25" s="86"/>
      <c r="S25" s="82"/>
      <c r="T25" s="82"/>
    </row>
    <row r="26" spans="2:23" ht="15" thickBot="1">
      <c r="B26" s="108" t="s">
        <v>37</v>
      </c>
      <c r="C26" s="202">
        <f>SUMIF($D$8:$D$21, "OVERTIME", $G$8:$G$21)+SUMIF(L8:L21, "OVERTIME", O8:O21)</f>
        <v>8.3333333333335258E-3</v>
      </c>
      <c r="D26" s="152"/>
      <c r="E26" s="273"/>
      <c r="F26" s="274"/>
      <c r="H26" s="112" t="s">
        <v>98</v>
      </c>
      <c r="I26" s="200"/>
      <c r="J26" s="155">
        <v>0.18263888888888891</v>
      </c>
      <c r="N26" s="85"/>
      <c r="O26" s="85"/>
      <c r="Q26" s="86"/>
      <c r="R26" s="86"/>
      <c r="S26" s="82"/>
      <c r="T26" s="82"/>
    </row>
    <row r="27" spans="2:23" ht="15" thickBot="1">
      <c r="B27" s="53" t="s">
        <v>22</v>
      </c>
      <c r="C27" s="202">
        <f>SUM(P8:P21)</f>
        <v>0.84166666666666679</v>
      </c>
      <c r="D27" s="152"/>
      <c r="E27" s="273"/>
      <c r="F27" s="274"/>
      <c r="H27" s="32"/>
      <c r="I27" s="32"/>
      <c r="J27" s="32"/>
      <c r="N27" s="85"/>
      <c r="O27" s="85"/>
      <c r="Q27" s="86"/>
      <c r="R27" s="86"/>
      <c r="S27" s="82"/>
      <c r="T27" s="82"/>
    </row>
    <row r="28" spans="2:23" ht="16" customHeight="1">
      <c r="B28" s="53" t="s">
        <v>23</v>
      </c>
      <c r="C28" s="202">
        <f>SUM(Q8:Q21)</f>
        <v>0.33333333333333331</v>
      </c>
      <c r="D28" s="152"/>
      <c r="E28" s="273"/>
      <c r="F28" s="274"/>
      <c r="H28" s="268" t="s">
        <v>107</v>
      </c>
      <c r="I28" s="269"/>
      <c r="J28" s="270"/>
      <c r="N28" s="85"/>
      <c r="O28" s="85"/>
      <c r="Q28" s="86"/>
      <c r="R28" s="86"/>
      <c r="S28" s="82"/>
      <c r="T28" s="82"/>
    </row>
    <row r="29" spans="2:23">
      <c r="B29" s="53" t="s">
        <v>176</v>
      </c>
      <c r="C29" s="202">
        <f>IF(J26,J26,J24/60/24)</f>
        <v>0.18263888888888891</v>
      </c>
      <c r="D29" s="152"/>
      <c r="E29" s="273"/>
      <c r="F29" s="274"/>
      <c r="H29" s="111" t="s">
        <v>97</v>
      </c>
      <c r="I29" s="199"/>
      <c r="J29" s="132">
        <v>142</v>
      </c>
      <c r="N29" s="85"/>
      <c r="O29" s="85"/>
      <c r="Q29" s="86"/>
      <c r="R29" s="86"/>
      <c r="S29" s="82"/>
      <c r="T29" s="82"/>
    </row>
    <row r="30" spans="2:23">
      <c r="B30" s="109" t="s">
        <v>103</v>
      </c>
      <c r="C30" s="202">
        <f>SUM(R8:R21)</f>
        <v>0</v>
      </c>
      <c r="D30" s="152"/>
      <c r="E30" s="273"/>
      <c r="F30" s="274"/>
      <c r="H30" s="265" t="s">
        <v>99</v>
      </c>
      <c r="I30" s="266"/>
      <c r="J30" s="267"/>
      <c r="W30" s="201"/>
    </row>
    <row r="31" spans="2:23" ht="15" thickBot="1">
      <c r="B31" s="53" t="s">
        <v>177</v>
      </c>
      <c r="C31" s="202">
        <f>IF(EMP_CIP_RATE=0,0,MIN(3.3333333333,WORKED_REGULAR))</f>
        <v>0</v>
      </c>
      <c r="D31" s="152"/>
      <c r="E31" s="273"/>
      <c r="F31" s="274"/>
      <c r="H31" s="112" t="s">
        <v>98</v>
      </c>
      <c r="I31" s="200"/>
      <c r="J31" s="155"/>
      <c r="R31" s="110"/>
      <c r="T31" s="82"/>
    </row>
    <row r="32" spans="2:23" ht="15" thickBot="1">
      <c r="B32" s="58" t="s">
        <v>107</v>
      </c>
      <c r="C32" s="203">
        <f>IF(J31,J31,J29/60/24)</f>
        <v>9.8611111111111108E-2</v>
      </c>
      <c r="D32" s="154"/>
      <c r="E32" s="273"/>
      <c r="F32" s="274"/>
      <c r="O32" s="156" t="str">
        <f>UPDATED</f>
        <v>Updated 2/20/2019</v>
      </c>
      <c r="R32" s="110"/>
      <c r="T32" s="82"/>
    </row>
    <row r="33" spans="5:22">
      <c r="E33" s="82"/>
      <c r="L33" s="84"/>
      <c r="O33" s="82"/>
      <c r="P33" s="110"/>
      <c r="Q33" s="110"/>
      <c r="R33" s="110"/>
      <c r="T33" s="82"/>
    </row>
    <row r="34" spans="5:22">
      <c r="E34" s="82"/>
      <c r="K34" s="82"/>
      <c r="L34" s="84"/>
      <c r="O34" s="82"/>
      <c r="P34" s="110"/>
      <c r="Q34" s="110"/>
      <c r="R34" s="110"/>
      <c r="T34" s="82"/>
      <c r="U34" s="84"/>
      <c r="V34" s="84"/>
    </row>
    <row r="35" spans="5:22">
      <c r="K35" s="82"/>
      <c r="L35" s="84"/>
      <c r="O35" s="82"/>
      <c r="P35" s="110"/>
      <c r="Q35" s="110"/>
      <c r="R35" s="110"/>
      <c r="T35" s="82"/>
      <c r="U35" s="84"/>
      <c r="V35" s="84"/>
    </row>
  </sheetData>
  <sheetProtection algorithmName="SHA-512" hashValue="dnkwO6Uoj5b1f9mis/F6ysASnG9tROtH2hwEXQaVuIFZ990JeR2DcCjkgL4XactD3uAx2kfGxRPfKJiCerCo6A==" saltValue="fbMHuFhR1svID4K29HMqRA==" spinCount="100000" sheet="1" objects="1" scenarios="1" selectLockedCells="1"/>
  <mergeCells count="13">
    <mergeCell ref="P6:R6"/>
    <mergeCell ref="B6:C7"/>
    <mergeCell ref="D6:G6"/>
    <mergeCell ref="L6:O6"/>
    <mergeCell ref="H6:K6"/>
    <mergeCell ref="B23:D23"/>
    <mergeCell ref="B2:C2"/>
    <mergeCell ref="H30:J30"/>
    <mergeCell ref="H25:J25"/>
    <mergeCell ref="H28:J28"/>
    <mergeCell ref="H23:J23"/>
    <mergeCell ref="E2:O5"/>
    <mergeCell ref="E24:F32"/>
  </mergeCells>
  <pageMargins left="0.25" right="0.25" top="0.75" bottom="0.75" header="0.3" footer="0.3"/>
  <pageSetup orientation="landscape"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3B602E94-33FC-2D42-84CF-5DBE1A87AACE}">
          <x14:formula1>
            <xm:f>'DO NOT EDIT - DEFINITIONS'!$D$2:$D$12</xm:f>
          </x14:formula1>
          <xm:sqref>H8:H21</xm:sqref>
        </x14:dataValidation>
        <x14:dataValidation type="list" allowBlank="1" showInputMessage="1" showErrorMessage="1" xr:uid="{48273FC4-90DB-1040-9635-DB9395FED694}">
          <x14:formula1>
            <xm:f>'DO NOT EDIT - DEFINITIONS'!$C$2:$C$4</xm:f>
          </x14:formula1>
          <xm:sqref>L8:L21</xm:sqref>
        </x14:dataValidation>
        <x14:dataValidation type="list" allowBlank="1" showInputMessage="1" showErrorMessage="1" xr:uid="{BE6D88A5-3CF0-E84A-A473-763FFAD5F707}">
          <x14:formula1>
            <xm:f>'DO NOT EDIT - DEFINITIONS'!$B$2:$B$7</xm:f>
          </x14:formula1>
          <xm:sqref>D8:D21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34A3-0870-0E44-891E-03F5AB5B316B}">
  <sheetPr codeName="Sheet2"/>
  <dimension ref="B2:M47"/>
  <sheetViews>
    <sheetView showGridLines="0" zoomScale="130" zoomScaleNormal="130" workbookViewId="0">
      <selection activeCell="H8" sqref="H8"/>
    </sheetView>
  </sheetViews>
  <sheetFormatPr baseColWidth="10" defaultRowHeight="15"/>
  <cols>
    <col min="1" max="1" width="2.83203125" customWidth="1"/>
    <col min="2" max="2" width="17.6640625" customWidth="1"/>
    <col min="4" max="4" width="5.6640625" customWidth="1"/>
    <col min="5" max="5" width="17.6640625" customWidth="1"/>
    <col min="8" max="8" width="13.5" style="117" customWidth="1"/>
    <col min="9" max="9" width="2.6640625" customWidth="1"/>
    <col min="10" max="10" width="29.1640625" customWidth="1"/>
  </cols>
  <sheetData>
    <row r="2" spans="2:13">
      <c r="B2" s="116" t="s">
        <v>132</v>
      </c>
      <c r="C2" s="115" t="s">
        <v>133</v>
      </c>
    </row>
    <row r="3" spans="2:13" ht="19" customHeight="1">
      <c r="B3" s="116" t="s">
        <v>134</v>
      </c>
    </row>
    <row r="4" spans="2:13" ht="44" customHeight="1">
      <c r="B4" s="282" t="s">
        <v>175</v>
      </c>
      <c r="C4" s="282"/>
      <c r="D4" s="282"/>
      <c r="E4" s="282"/>
      <c r="F4" s="282"/>
    </row>
    <row r="6" spans="2:13" ht="34" customHeight="1">
      <c r="B6" s="256" t="s">
        <v>174</v>
      </c>
      <c r="C6" s="256"/>
      <c r="D6" s="256"/>
      <c r="E6" s="256"/>
      <c r="F6" s="256"/>
    </row>
    <row r="7" spans="2:13" ht="16" thickBot="1"/>
    <row r="8" spans="2:13" ht="16" thickBot="1">
      <c r="H8" s="231">
        <f>HOURS_WORKED_LAST_DAY+10</f>
        <v>43508</v>
      </c>
      <c r="J8" s="207" t="s">
        <v>135</v>
      </c>
      <c r="K8" s="158"/>
      <c r="L8" s="158"/>
      <c r="M8" s="208"/>
    </row>
    <row r="9" spans="2:13">
      <c r="H9"/>
      <c r="J9" s="207" t="s">
        <v>199</v>
      </c>
      <c r="K9" s="158"/>
      <c r="L9" s="158"/>
      <c r="M9" s="208"/>
    </row>
    <row r="12" spans="2:13" ht="16" thickBot="1"/>
    <row r="13" spans="2:13" ht="16" thickBot="1">
      <c r="H13" s="233">
        <f>GROSS_TAXABLE_TSP</f>
        <v>5120.9525000000012</v>
      </c>
      <c r="J13" s="207" t="s">
        <v>136</v>
      </c>
      <c r="K13" s="158"/>
      <c r="L13" s="158"/>
      <c r="M13" s="208"/>
    </row>
    <row r="14" spans="2:13" ht="16" thickBot="1">
      <c r="H14" s="232" t="s">
        <v>138</v>
      </c>
      <c r="J14" s="207" t="s">
        <v>139</v>
      </c>
      <c r="K14" s="158"/>
      <c r="L14" s="158"/>
      <c r="M14" s="208"/>
    </row>
    <row r="15" spans="2:13" ht="16" thickBot="1">
      <c r="H15" s="117">
        <v>0</v>
      </c>
      <c r="J15" s="207" t="s">
        <v>140</v>
      </c>
      <c r="K15" s="158"/>
      <c r="L15" s="158"/>
      <c r="M15" s="208"/>
    </row>
    <row r="16" spans="2:13" ht="16" thickBot="1">
      <c r="H16" s="232" t="s">
        <v>137</v>
      </c>
      <c r="J16" s="207" t="s">
        <v>141</v>
      </c>
      <c r="K16" s="158"/>
      <c r="L16" s="158"/>
      <c r="M16" s="208"/>
    </row>
    <row r="19" spans="8:13">
      <c r="H19" s="117" t="s">
        <v>142</v>
      </c>
      <c r="J19" s="207" t="s">
        <v>143</v>
      </c>
      <c r="K19" s="158"/>
      <c r="L19" s="158"/>
      <c r="M19" s="208"/>
    </row>
    <row r="26" spans="8:13" ht="43" customHeight="1">
      <c r="H26" s="118"/>
      <c r="J26" s="283" t="s">
        <v>144</v>
      </c>
      <c r="K26" s="284"/>
      <c r="L26" s="284"/>
      <c r="M26" s="285"/>
    </row>
    <row r="29" spans="8:13">
      <c r="H29" s="117" t="s">
        <v>145</v>
      </c>
      <c r="J29" s="207" t="s">
        <v>146</v>
      </c>
      <c r="K29" s="158"/>
      <c r="L29" s="158"/>
      <c r="M29" s="208"/>
    </row>
    <row r="41" spans="10:11">
      <c r="J41" t="s">
        <v>157</v>
      </c>
    </row>
    <row r="42" spans="10:11" ht="16" thickBot="1"/>
    <row r="43" spans="10:11">
      <c r="J43" s="254" t="s">
        <v>87</v>
      </c>
      <c r="K43" s="255"/>
    </row>
    <row r="44" spans="10:11">
      <c r="J44" s="52" t="s">
        <v>126</v>
      </c>
      <c r="K44" s="42">
        <v>0</v>
      </c>
    </row>
    <row r="45" spans="10:11">
      <c r="J45" s="52" t="s">
        <v>127</v>
      </c>
      <c r="K45" s="42">
        <v>0</v>
      </c>
    </row>
    <row r="46" spans="10:11">
      <c r="J46" s="52" t="s">
        <v>128</v>
      </c>
      <c r="K46" s="42">
        <v>0</v>
      </c>
    </row>
    <row r="47" spans="10:11" ht="16" thickBot="1">
      <c r="J47" s="119" t="s">
        <v>147</v>
      </c>
      <c r="K47" s="120">
        <f>SUM(K44:K46)</f>
        <v>0</v>
      </c>
    </row>
  </sheetData>
  <sheetProtection algorithmName="SHA-512" hashValue="u5GnqqdehgMKCNxvxHe+WT3+TemessukFmVbAIb0jdyVBd28LW92rBlc6zqgMEcDNwelPMMCV+8XrzuJ4hawQQ==" saltValue="cTUQhHPsFmwMCxpmoEbqNQ==" spinCount="100000" sheet="1" objects="1" scenarios="1"/>
  <mergeCells count="4">
    <mergeCell ref="J43:K43"/>
    <mergeCell ref="B6:F6"/>
    <mergeCell ref="B4:F4"/>
    <mergeCell ref="J26:M26"/>
  </mergeCells>
  <dataValidations disablePrompts="1" count="3">
    <dataValidation allowBlank="1" showInputMessage="1" showErrorMessage="1" promptTitle="Local Tax Amount" prompt="Enter the amount of local taxes due." sqref="K46:K47" xr:uid="{9D660FB5-4D7E-5E42-AA57-98E92A786DEC}"/>
    <dataValidation allowBlank="1" showInputMessage="1" showErrorMessage="1" promptTitle="County Tax Amount" prompt="Enter the amount due for county taxes." sqref="K45" xr:uid="{9B3D009B-CC06-7742-BF04-13D0E4659BA4}"/>
    <dataValidation allowBlank="1" showInputMessage="1" showErrorMessage="1" promptTitle="State Tax Amount" prompt="Enter amount of state tax due." sqref="K44" xr:uid="{BCDB5D5D-F0F6-A445-9AC4-517F726B05C8}"/>
  </dataValidations>
  <hyperlinks>
    <hyperlink ref="C2" r:id="rId1" xr:uid="{12A7DED6-22AF-7942-B036-FD6ECA5F658D}"/>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09E4D-E7C7-4445-A314-19F9C011C881}">
  <sheetPr codeName="Sheet4"/>
  <dimension ref="A1:K47"/>
  <sheetViews>
    <sheetView showGridLines="0" zoomScale="130" zoomScaleNormal="130" workbookViewId="0">
      <selection activeCell="H20" sqref="H20"/>
    </sheetView>
  </sheetViews>
  <sheetFormatPr baseColWidth="10" defaultRowHeight="15"/>
  <cols>
    <col min="1" max="1" width="1.6640625" style="3" customWidth="1"/>
    <col min="2" max="2" width="9.5" style="13" customWidth="1"/>
    <col min="3" max="3" width="9.5" style="31" customWidth="1"/>
    <col min="4" max="4" width="9.5" customWidth="1"/>
    <col min="5" max="5" width="11.6640625" customWidth="1"/>
  </cols>
  <sheetData>
    <row r="1" spans="1:10" ht="16" thickBot="1">
      <c r="A1" s="33"/>
      <c r="B1" s="34"/>
      <c r="C1" s="34"/>
      <c r="D1" s="32"/>
      <c r="E1" s="32"/>
    </row>
    <row r="2" spans="1:10">
      <c r="A2" s="33"/>
      <c r="B2" s="254" t="s">
        <v>93</v>
      </c>
      <c r="C2" s="286"/>
      <c r="D2" s="286"/>
      <c r="E2" s="255"/>
      <c r="G2" s="259" t="str">
        <f>TEXT("Pay Summary for "&amp;EMP_NAME,"")</f>
        <v xml:space="preserve">Pay Summary for </v>
      </c>
      <c r="H2" s="261"/>
      <c r="I2" s="261"/>
      <c r="J2" s="260"/>
    </row>
    <row r="3" spans="1:10">
      <c r="A3" s="33"/>
      <c r="B3" s="292" t="s">
        <v>60</v>
      </c>
      <c r="C3" s="293"/>
      <c r="D3" s="68" t="s">
        <v>12</v>
      </c>
      <c r="E3" s="69" t="s">
        <v>62</v>
      </c>
      <c r="G3" s="72" t="s">
        <v>3</v>
      </c>
      <c r="H3" s="70"/>
      <c r="I3" s="71"/>
      <c r="J3" s="40">
        <f>GROSS_PAY</f>
        <v>6213.6025000000009</v>
      </c>
    </row>
    <row r="4" spans="1:10" ht="16" thickBot="1">
      <c r="A4" s="32"/>
      <c r="B4" s="38" t="s">
        <v>61</v>
      </c>
      <c r="C4" s="78"/>
      <c r="D4" s="39">
        <f>IF(WORKED_REGULAR_TEST&lt;&gt;"",WORKED_REGULAR_TEST,WORKED_REGULAR)</f>
        <v>3.3416666666666668</v>
      </c>
      <c r="E4" s="40">
        <f>D4*24*EMP_HOURLY</f>
        <v>5862.62</v>
      </c>
      <c r="G4" s="73" t="s">
        <v>59</v>
      </c>
      <c r="H4" s="74"/>
      <c r="I4" s="75"/>
      <c r="J4" s="65">
        <f>TOTAL_DEDUCTIONS</f>
        <v>2504.5469931730777</v>
      </c>
    </row>
    <row r="5" spans="1:10" ht="16" thickBot="1">
      <c r="A5" s="33"/>
      <c r="B5" s="38" t="s">
        <v>103</v>
      </c>
      <c r="C5" s="78"/>
      <c r="D5" s="39">
        <f>IF(WORKED_HOLIDAY_TEST&lt;&gt;"",WORKED_HOLIDAY_TEST,WORKED_HOLIDAY)</f>
        <v>0</v>
      </c>
      <c r="E5" s="40">
        <f>D5*24*EMP_HOURLY</f>
        <v>0</v>
      </c>
      <c r="G5" s="2"/>
      <c r="H5" s="2"/>
      <c r="I5" s="76" t="s">
        <v>8</v>
      </c>
      <c r="J5" s="67">
        <f>J3-J4</f>
        <v>3709.0555068269232</v>
      </c>
    </row>
    <row r="6" spans="1:10" ht="16" thickBot="1">
      <c r="A6" s="33"/>
      <c r="B6" s="38" t="s">
        <v>22</v>
      </c>
      <c r="C6" s="78"/>
      <c r="D6" s="39">
        <f>IF(WORKED_NIGHT_DIF_TEST&lt;&gt;"",WORKED_NIGHT_DIF_TEST,WORKED_NIGHT_DIF)</f>
        <v>0.84166666666666679</v>
      </c>
      <c r="E6" s="40">
        <f>D6*24*ROUND(0.1*EMP_HOURLY,2)</f>
        <v>147.66200000000001</v>
      </c>
      <c r="G6" s="2"/>
      <c r="H6" s="2"/>
      <c r="I6" s="2"/>
      <c r="J6" s="2"/>
    </row>
    <row r="7" spans="1:10">
      <c r="A7" s="33"/>
      <c r="B7" s="38" t="s">
        <v>23</v>
      </c>
      <c r="C7" s="78"/>
      <c r="D7" s="39">
        <f>IF(WORKED_SUNDAY_TEST&lt;&gt;"",WORKED_SUNDAY_TEST,WORKED_SUNDAY)</f>
        <v>0.33333333333333331</v>
      </c>
      <c r="E7" s="40">
        <f>D7*24*ROUND(EMP_HOURLY*0.25,2)</f>
        <v>146.24</v>
      </c>
      <c r="G7" s="287" t="s">
        <v>171</v>
      </c>
      <c r="H7" s="288"/>
      <c r="I7" s="288"/>
      <c r="J7" s="289"/>
    </row>
    <row r="8" spans="1:10">
      <c r="A8" s="33"/>
      <c r="B8" s="38" t="s">
        <v>90</v>
      </c>
      <c r="C8" s="78"/>
      <c r="D8" s="39">
        <f>IF(WORKED_CIC_TEST&lt;&gt;"",WORKED_CIC_TEST,WORKED_CIC)</f>
        <v>0.18263888888888891</v>
      </c>
      <c r="E8" s="40">
        <f>D8*24*ROUND(EMP_HOURLY*0.1,2)</f>
        <v>32.042166666666667</v>
      </c>
      <c r="G8" s="193" t="s">
        <v>4</v>
      </c>
      <c r="H8" s="158"/>
      <c r="I8" s="158"/>
      <c r="J8" s="195">
        <f>EMP_PP</f>
        <v>3</v>
      </c>
    </row>
    <row r="9" spans="1:10">
      <c r="A9" s="33"/>
      <c r="B9" s="46" t="s">
        <v>106</v>
      </c>
      <c r="C9" s="79"/>
      <c r="D9" s="39">
        <f>IF(WORKED_CIP_TEST&lt;&gt;"",WORKED_CIP_TEST,WORKED_CIP)</f>
        <v>0</v>
      </c>
      <c r="E9" s="47">
        <f>D9*24*EMP_CIP_RATE</f>
        <v>0</v>
      </c>
      <c r="G9" s="193" t="s">
        <v>172</v>
      </c>
      <c r="H9" s="158"/>
      <c r="I9" s="158"/>
      <c r="J9" s="196">
        <f>'STEP 2 - HOURS WORKED'!C21</f>
        <v>43498</v>
      </c>
    </row>
    <row r="10" spans="1:10" ht="16" thickBot="1">
      <c r="A10" s="32"/>
      <c r="B10" s="46" t="s">
        <v>107</v>
      </c>
      <c r="C10" s="79"/>
      <c r="D10" s="39">
        <f>IF(WORKED_OJTI_TEST&lt;&gt;"",WORKED_OJTI_TEST,WORKED_OJTI)</f>
        <v>9.8611111111111108E-2</v>
      </c>
      <c r="E10" s="40">
        <f>D10*24*ROUND(EMP_HOURLY*0.1,2)</f>
        <v>17.300333333333331</v>
      </c>
      <c r="G10" s="194" t="s">
        <v>173</v>
      </c>
      <c r="H10" s="159"/>
      <c r="I10" s="159"/>
      <c r="J10" s="197">
        <f>J9+10</f>
        <v>43508</v>
      </c>
    </row>
    <row r="11" spans="1:10">
      <c r="A11" s="32"/>
      <c r="B11" s="38" t="s">
        <v>104</v>
      </c>
      <c r="C11" s="78"/>
      <c r="D11" s="39">
        <f>IF(WORKED_OT_TEST&lt;&gt;"",WORKED_OT_TEST,WORKED_OT)</f>
        <v>8.3333333333335258E-3</v>
      </c>
      <c r="E11" s="40">
        <f>ROUND(SUM(E4:E10)/(D4*24),2)*0.5*(D11*24)</f>
        <v>7.7380000000001781</v>
      </c>
    </row>
    <row r="12" spans="1:10">
      <c r="A12" s="32"/>
      <c r="B12" s="38"/>
      <c r="C12" s="78"/>
      <c r="D12" s="49"/>
      <c r="E12" s="50"/>
    </row>
    <row r="13" spans="1:10" ht="16" thickBot="1">
      <c r="A13" s="32"/>
      <c r="B13" s="178"/>
      <c r="C13" s="179"/>
      <c r="D13" s="180"/>
      <c r="E13" s="181"/>
    </row>
    <row r="14" spans="1:10" ht="16" thickBot="1">
      <c r="A14" s="32"/>
      <c r="B14" s="294" t="s">
        <v>102</v>
      </c>
      <c r="C14" s="295"/>
      <c r="D14" s="296"/>
      <c r="E14" s="67">
        <f>SUM(E4:E11)</f>
        <v>6213.6025000000009</v>
      </c>
    </row>
    <row r="15" spans="1:10" ht="16" thickBot="1">
      <c r="A15" s="32"/>
      <c r="B15" s="32"/>
      <c r="C15" s="32"/>
      <c r="D15" s="32"/>
      <c r="E15" s="32"/>
    </row>
    <row r="16" spans="1:10">
      <c r="A16" s="32"/>
      <c r="B16" s="254" t="s">
        <v>55</v>
      </c>
      <c r="C16" s="286"/>
      <c r="D16" s="286"/>
      <c r="E16" s="255"/>
    </row>
    <row r="17" spans="1:11">
      <c r="A17" s="32"/>
      <c r="B17" s="290" t="s">
        <v>94</v>
      </c>
      <c r="C17" s="291"/>
      <c r="D17" s="291"/>
      <c r="E17" s="61">
        <f>SUM(E18:E21)</f>
        <v>1164.2069931730773</v>
      </c>
    </row>
    <row r="18" spans="1:11">
      <c r="A18" s="32"/>
      <c r="B18" s="62" t="s">
        <v>63</v>
      </c>
      <c r="C18" s="77"/>
      <c r="D18" s="77"/>
      <c r="E18" s="40">
        <f>FED_TAX_TOTAL+EMP_FED_TAX_ADD</f>
        <v>716.53262692307726</v>
      </c>
    </row>
    <row r="19" spans="1:11">
      <c r="A19" s="32"/>
      <c r="B19" s="62" t="s">
        <v>87</v>
      </c>
      <c r="C19" s="77"/>
      <c r="D19" s="77"/>
      <c r="E19" s="63">
        <f>STATE_TAX_TOTAL</f>
        <v>0</v>
      </c>
    </row>
    <row r="20" spans="1:11">
      <c r="A20" s="32"/>
      <c r="B20" s="62" t="s">
        <v>65</v>
      </c>
      <c r="C20" s="77"/>
      <c r="D20" s="77"/>
      <c r="E20" s="40">
        <f>GROSS_TAXABLE*DEF_MEDICARE</f>
        <v>84.853311250000019</v>
      </c>
      <c r="H20" s="2"/>
    </row>
    <row r="21" spans="1:11">
      <c r="A21" s="33"/>
      <c r="B21" s="62" t="s">
        <v>68</v>
      </c>
      <c r="C21" s="77"/>
      <c r="D21" s="77"/>
      <c r="E21" s="40">
        <f>IF(EMP_OASDI_OVERRIDE="",GROSS_TAXABLE*DEF_OASDI,EMP_OASDI_OVERRIDE)</f>
        <v>362.82105500000006</v>
      </c>
    </row>
    <row r="22" spans="1:11">
      <c r="A22" s="33"/>
      <c r="B22" s="297" t="s">
        <v>95</v>
      </c>
      <c r="C22" s="298"/>
      <c r="D22" s="298"/>
      <c r="E22" s="61">
        <f>SUM(E23:E24)</f>
        <v>175.44</v>
      </c>
    </row>
    <row r="23" spans="1:11">
      <c r="A23" s="32"/>
      <c r="B23" s="62" t="s">
        <v>64</v>
      </c>
      <c r="C23" s="77"/>
      <c r="D23" s="77"/>
      <c r="E23" s="63">
        <f>EMP_HOURLY*MIN(80,D4*24)*EMP_FERS</f>
        <v>93.567999999999998</v>
      </c>
    </row>
    <row r="24" spans="1:11">
      <c r="A24" s="32"/>
      <c r="B24" s="62" t="s">
        <v>1</v>
      </c>
      <c r="C24" s="77"/>
      <c r="D24" s="177"/>
      <c r="E24" s="40">
        <f>EMP_HOURLY*80*DEF_UNION_DUES</f>
        <v>81.872</v>
      </c>
    </row>
    <row r="25" spans="1:11">
      <c r="A25" s="32"/>
      <c r="B25" s="299" t="s">
        <v>161</v>
      </c>
      <c r="C25" s="300"/>
      <c r="D25" s="300"/>
      <c r="E25" s="176">
        <f>SUM(E26:E28)</f>
        <v>1164.9000000000001</v>
      </c>
    </row>
    <row r="26" spans="1:11">
      <c r="A26" s="32"/>
      <c r="B26" s="172" t="s">
        <v>162</v>
      </c>
      <c r="C26" s="173"/>
      <c r="D26" s="158"/>
      <c r="E26" s="23">
        <f>EMP_PRE_TAX</f>
        <v>361.65</v>
      </c>
    </row>
    <row r="27" spans="1:11" ht="16" thickBot="1">
      <c r="A27" s="32"/>
      <c r="B27" s="172" t="s">
        <v>163</v>
      </c>
      <c r="C27" s="173"/>
      <c r="D27" s="158"/>
      <c r="E27" s="23">
        <f>EMP_PRE_TAX_TSP</f>
        <v>731</v>
      </c>
    </row>
    <row r="28" spans="1:11" ht="16" thickBot="1">
      <c r="B28" s="174" t="s">
        <v>164</v>
      </c>
      <c r="C28" s="175"/>
      <c r="D28" s="159"/>
      <c r="E28" s="27">
        <f>EMP_POST_TAX</f>
        <v>72.25</v>
      </c>
      <c r="G28" s="228" t="s">
        <v>153</v>
      </c>
      <c r="H28" s="229"/>
      <c r="I28" s="229"/>
      <c r="J28" s="229"/>
      <c r="K28" s="230"/>
    </row>
    <row r="29" spans="1:11" ht="16" thickBot="1">
      <c r="B29" s="301" t="s">
        <v>59</v>
      </c>
      <c r="C29" s="302"/>
      <c r="D29" s="303"/>
      <c r="E29" s="56">
        <f>SUM(E17,E22,E25)</f>
        <v>2504.5469931730777</v>
      </c>
      <c r="G29" s="127" t="s">
        <v>152</v>
      </c>
      <c r="H29" s="125" t="s">
        <v>129</v>
      </c>
      <c r="I29" s="126" t="s">
        <v>193</v>
      </c>
      <c r="J29" s="126" t="s">
        <v>194</v>
      </c>
      <c r="K29" s="128" t="s">
        <v>130</v>
      </c>
    </row>
    <row r="30" spans="1:11" ht="16" thickBot="1">
      <c r="A30" s="2"/>
      <c r="G30" s="53" t="s">
        <v>28</v>
      </c>
      <c r="H30" s="54" t="str">
        <f>IF(EMP_AL_BALANCE_NEG="Y","-"&amp;TEXT(ABS(EMP_AL_BALANCE),"[h]:mm"),TEXT(EMP_AL_BALANCE, "[h]:mm"))</f>
        <v>16:20</v>
      </c>
      <c r="I30" s="80">
        <f>SUMIF(HOURS_WORKED_LEAVE_TYPE, "ANNUAL", HOURS_WORKED_LEAVE_HOURS)</f>
        <v>0.33333333333333337</v>
      </c>
      <c r="J30" s="80">
        <f>EMP_AL_EARN/24</f>
        <v>0.25</v>
      </c>
      <c r="K30" s="55" t="str">
        <f>IF(D38&lt;0,"-","")&amp;TEXT(ABS(D38/24),"[h]:mm")</f>
        <v>14:20</v>
      </c>
    </row>
    <row r="31" spans="1:11">
      <c r="A31" s="2"/>
      <c r="B31" s="254" t="s">
        <v>100</v>
      </c>
      <c r="C31" s="286"/>
      <c r="D31" s="286"/>
      <c r="E31" s="255"/>
      <c r="G31" s="53" t="s">
        <v>29</v>
      </c>
      <c r="H31" s="54" t="str">
        <f>IF(EMP_SL_BALANCE_NEG="Y","-"&amp;TEXT(ABS(EMP_SL_BALANCE),"[h]:mm"),TEXT(EMP_SL_BALANCE, "[h]:mm"))</f>
        <v>-1:00</v>
      </c>
      <c r="I31" s="80">
        <f>SUMIF(HOURS_WORKED_LEAVE_TYPE, "SICK", HOURS_WORKED_LEAVE_HOURS)</f>
        <v>0.33333333333333331</v>
      </c>
      <c r="J31" s="80">
        <f>4/24</f>
        <v>0.16666666666666666</v>
      </c>
      <c r="K31" s="55" t="str">
        <f>IF(D39&lt;0,"-","")&amp;TEXT(ABS(D39/24),"[h]:mm")</f>
        <v>-5:00</v>
      </c>
    </row>
    <row r="32" spans="1:11">
      <c r="B32" s="38" t="s">
        <v>7</v>
      </c>
      <c r="C32" s="158"/>
      <c r="D32" s="158"/>
      <c r="E32" s="113">
        <f>$J$3-EMP_PRE_TAX</f>
        <v>5851.9525000000012</v>
      </c>
      <c r="G32" s="53" t="s">
        <v>30</v>
      </c>
      <c r="H32" s="57">
        <f>EMP_CREDIT_BALANCE</f>
        <v>0.20833333333333334</v>
      </c>
      <c r="I32" s="80">
        <f>SUMIF(HOURS_WORKED_LEAVE_TYPE, "CREDIT", HOURS_WORKED_LEAVE_HOURS)</f>
        <v>0</v>
      </c>
      <c r="J32" s="80">
        <f>SUMIF(HOURS_WORKED_TOS_TYPE, "CREDIT", HOURS_WORKED_TOS_HOURS)+SUMIF(HOURS_WORKED_SHIFT_TYPE, "EARN CREDIT", HOURS_WORKED_SHIFT_HOURS)</f>
        <v>4.1666666666666741E-2</v>
      </c>
      <c r="K32" s="55" t="str">
        <f>IF(I32&gt;H32+J32,"-","")&amp;TEXT(ABS(H32+J32-I32),"[h]:mm")</f>
        <v>6:00</v>
      </c>
    </row>
    <row r="33" spans="1:11" ht="16" thickBot="1">
      <c r="B33" s="157" t="s">
        <v>101</v>
      </c>
      <c r="C33" s="159"/>
      <c r="D33" s="159"/>
      <c r="E33" s="114">
        <f>$E$32-EMP_PRE_TAX_TSP</f>
        <v>5120.9525000000012</v>
      </c>
      <c r="G33" s="58" t="s">
        <v>31</v>
      </c>
      <c r="H33" s="59">
        <f>EMP_TCOMP_BALANCE</f>
        <v>8.3333333333333329E-2</v>
      </c>
      <c r="I33" s="81">
        <f>SUMIF(HOURS_WORKED_LEAVE_TYPE, "TRAVEL COMP", HOURS_WORKED_LEAVE_HOURS)</f>
        <v>0</v>
      </c>
      <c r="J33" s="81">
        <f>SUMIF(HOURS_WORKED_TOS_TYPE, "TRAVEL COMP",HOURS_WORKED_TOS_HOURS)</f>
        <v>0</v>
      </c>
      <c r="K33" s="60" t="str">
        <f>IF(I33&gt;H33+J33,"-","")&amp;TEXT(ABS(H33+J33-I33),"[h]:mm")</f>
        <v>2:00</v>
      </c>
    </row>
    <row r="34" spans="1:11">
      <c r="K34" s="156" t="str">
        <f>UPDATED</f>
        <v>Updated 2/20/2019</v>
      </c>
    </row>
    <row r="35" spans="1:11">
      <c r="A35" s="2"/>
    </row>
    <row r="36" spans="1:11" hidden="1">
      <c r="C36" s="28" t="s">
        <v>46</v>
      </c>
      <c r="D36" s="28"/>
    </row>
    <row r="37" spans="1:11" hidden="1">
      <c r="C37" s="30" t="s">
        <v>42</v>
      </c>
      <c r="D37" s="30" t="s">
        <v>43</v>
      </c>
      <c r="E37" s="227"/>
    </row>
    <row r="38" spans="1:11" hidden="1">
      <c r="B38" s="13" t="s">
        <v>197</v>
      </c>
      <c r="C38" s="29">
        <f>EMP_AL_BALANCE*IF(EMP_AL_BALANCE_NEG="Y",-24,24)</f>
        <v>16.333333333333332</v>
      </c>
      <c r="D38" s="29">
        <f>C38+(J30*24)-(I30*24)</f>
        <v>14.333333333333332</v>
      </c>
    </row>
    <row r="39" spans="1:11" hidden="1">
      <c r="B39" s="13" t="s">
        <v>198</v>
      </c>
      <c r="C39" s="29">
        <f>EMP_SL_BALANCE*IF(EMP_SL_BALANCE_NEG="Y",-24,24)</f>
        <v>-1</v>
      </c>
      <c r="D39" s="29">
        <f>C39+(J31*24)-(I31*24)</f>
        <v>-5</v>
      </c>
    </row>
    <row r="40" spans="1:11">
      <c r="A40" s="2"/>
      <c r="B40"/>
      <c r="C40" s="2"/>
    </row>
    <row r="41" spans="1:11">
      <c r="A41" s="2"/>
      <c r="B41"/>
      <c r="C41" s="2"/>
    </row>
    <row r="42" spans="1:11">
      <c r="B42"/>
      <c r="C42" s="2"/>
    </row>
    <row r="43" spans="1:11">
      <c r="B43"/>
      <c r="C43" s="2"/>
    </row>
    <row r="44" spans="1:11">
      <c r="B44"/>
      <c r="C44" s="2"/>
    </row>
    <row r="45" spans="1:11">
      <c r="B45"/>
      <c r="C45" s="2"/>
    </row>
    <row r="46" spans="1:11">
      <c r="B46"/>
      <c r="C46" s="2"/>
    </row>
    <row r="47" spans="1:11">
      <c r="B47"/>
      <c r="C47" s="2"/>
    </row>
  </sheetData>
  <sheetProtection algorithmName="SHA-512" hashValue="CLDfNFtRf84Gi0w3N70CFYKjx/E+U84OqB10eY7ipCN0Y6IzVcQxYmLRhKveJlWjmNHeCTxzo3wd9X0/B+moEg==" saltValue="kZntAzVuw6HqtRQ6nd1JCg==" spinCount="100000" sheet="1" objects="1" scenarios="1"/>
  <mergeCells count="11">
    <mergeCell ref="B31:E31"/>
    <mergeCell ref="B16:E16"/>
    <mergeCell ref="G7:J7"/>
    <mergeCell ref="G2:J2"/>
    <mergeCell ref="B17:D17"/>
    <mergeCell ref="B2:E2"/>
    <mergeCell ref="B3:C3"/>
    <mergeCell ref="B14:D14"/>
    <mergeCell ref="B22:D22"/>
    <mergeCell ref="B25:D25"/>
    <mergeCell ref="B29:D29"/>
  </mergeCells>
  <pageMargins left="0.7" right="0.7" top="0.75" bottom="0.75" header="0.3" footer="0.3"/>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E945-8F96-EB42-B248-CB19125C3201}">
  <sheetPr codeName="Sheet9"/>
  <dimension ref="B1:N34"/>
  <sheetViews>
    <sheetView zoomScale="120" zoomScaleNormal="120" workbookViewId="0">
      <selection activeCell="I32" sqref="I32"/>
    </sheetView>
  </sheetViews>
  <sheetFormatPr baseColWidth="10" defaultRowHeight="15"/>
  <cols>
    <col min="5" max="5" width="12.1640625" bestFit="1" customWidth="1"/>
    <col min="7" max="7" width="17.1640625" customWidth="1"/>
  </cols>
  <sheetData>
    <row r="1" spans="2:14" ht="16" thickBot="1">
      <c r="I1" s="12"/>
    </row>
    <row r="2" spans="2:14">
      <c r="B2" s="307" t="s">
        <v>85</v>
      </c>
      <c r="C2" s="308"/>
      <c r="D2" s="308"/>
      <c r="E2" s="213">
        <f>GROSS_TAXABLE_TSP*DEF_PP_COUNT-VLOOKUP(FED_TAX_YEAR,DEF_EXEMPTION,2)*EMP_EXEMPTIONS</f>
        <v>133144.76500000004</v>
      </c>
      <c r="J2" s="14"/>
    </row>
    <row r="3" spans="2:14" ht="16" thickBot="1">
      <c r="B3" s="309" t="s">
        <v>86</v>
      </c>
      <c r="C3" s="310"/>
      <c r="D3" s="310"/>
      <c r="E3" s="27">
        <f>SUM(G:G)/DEF_PP_COUNT</f>
        <v>716.53262692307726</v>
      </c>
      <c r="I3" s="12"/>
      <c r="J3" s="14"/>
    </row>
    <row r="4" spans="2:14" ht="16" thickBot="1">
      <c r="I4" s="12"/>
      <c r="K4" s="14"/>
    </row>
    <row r="5" spans="2:14">
      <c r="B5" s="304" t="s">
        <v>123</v>
      </c>
      <c r="C5" s="305"/>
      <c r="D5" s="305"/>
      <c r="E5" s="305"/>
      <c r="F5" s="305"/>
      <c r="G5" s="306"/>
    </row>
    <row r="6" spans="2:14">
      <c r="B6" s="20" t="s">
        <v>75</v>
      </c>
      <c r="C6" s="17" t="s">
        <v>82</v>
      </c>
      <c r="D6" s="17" t="s">
        <v>76</v>
      </c>
      <c r="E6" s="17" t="s">
        <v>77</v>
      </c>
      <c r="F6" s="18" t="s">
        <v>56</v>
      </c>
      <c r="G6" s="21" t="s">
        <v>81</v>
      </c>
      <c r="I6" s="14"/>
    </row>
    <row r="7" spans="2:14">
      <c r="B7" s="22">
        <v>2018</v>
      </c>
      <c r="C7" s="10" t="s">
        <v>80</v>
      </c>
      <c r="D7" s="10">
        <v>3700</v>
      </c>
      <c r="E7" s="10">
        <v>13225</v>
      </c>
      <c r="F7" s="11">
        <v>0.1</v>
      </c>
      <c r="G7" s="23">
        <f t="shared" ref="G7:G34" si="0">IF(AND(B7=FED_TAX_YEAR,C7=EMP_FILING_STATUS,$E$2&gt;D7),IF($E$2&gt;E7,(E7-D7),$E$2-D7)*F7,0)</f>
        <v>0</v>
      </c>
    </row>
    <row r="8" spans="2:14">
      <c r="B8" s="22">
        <v>2018</v>
      </c>
      <c r="C8" s="10" t="s">
        <v>80</v>
      </c>
      <c r="D8" s="10">
        <f t="shared" ref="D8:D13" si="1">E7</f>
        <v>13225</v>
      </c>
      <c r="E8" s="10">
        <v>42400</v>
      </c>
      <c r="F8" s="11">
        <v>0.12</v>
      </c>
      <c r="G8" s="23">
        <f t="shared" si="0"/>
        <v>0</v>
      </c>
      <c r="J8" s="190"/>
    </row>
    <row r="9" spans="2:14">
      <c r="B9" s="22">
        <v>2018</v>
      </c>
      <c r="C9" s="10" t="s">
        <v>80</v>
      </c>
      <c r="D9" s="10">
        <f t="shared" si="1"/>
        <v>42400</v>
      </c>
      <c r="E9" s="19">
        <v>86200</v>
      </c>
      <c r="F9" s="11">
        <v>0.22</v>
      </c>
      <c r="G9" s="23">
        <f t="shared" si="0"/>
        <v>0</v>
      </c>
      <c r="L9" s="14"/>
      <c r="M9" s="14"/>
      <c r="N9" s="14"/>
    </row>
    <row r="10" spans="2:14">
      <c r="B10" s="22">
        <v>2018</v>
      </c>
      <c r="C10" s="10" t="s">
        <v>80</v>
      </c>
      <c r="D10" s="10">
        <f t="shared" si="1"/>
        <v>86200</v>
      </c>
      <c r="E10" s="19">
        <v>161200</v>
      </c>
      <c r="F10" s="11">
        <v>0.24</v>
      </c>
      <c r="G10" s="23">
        <f t="shared" si="0"/>
        <v>0</v>
      </c>
      <c r="L10" s="14"/>
      <c r="M10" s="14"/>
      <c r="N10" s="14"/>
    </row>
    <row r="11" spans="2:14">
      <c r="B11" s="22">
        <v>2018</v>
      </c>
      <c r="C11" s="10" t="s">
        <v>80</v>
      </c>
      <c r="D11" s="10">
        <f t="shared" si="1"/>
        <v>161200</v>
      </c>
      <c r="E11" s="19">
        <v>203700</v>
      </c>
      <c r="F11" s="11">
        <v>0.32</v>
      </c>
      <c r="G11" s="23">
        <f t="shared" si="0"/>
        <v>0</v>
      </c>
    </row>
    <row r="12" spans="2:14">
      <c r="B12" s="22">
        <v>2018</v>
      </c>
      <c r="C12" s="10" t="s">
        <v>80</v>
      </c>
      <c r="D12" s="10">
        <f t="shared" si="1"/>
        <v>203700</v>
      </c>
      <c r="E12" s="19">
        <v>503700</v>
      </c>
      <c r="F12" s="11">
        <v>0.35</v>
      </c>
      <c r="G12" s="23">
        <f t="shared" si="0"/>
        <v>0</v>
      </c>
    </row>
    <row r="13" spans="2:14">
      <c r="B13" s="22">
        <v>2018</v>
      </c>
      <c r="C13" s="10" t="s">
        <v>80</v>
      </c>
      <c r="D13" s="10">
        <f t="shared" si="1"/>
        <v>503700</v>
      </c>
      <c r="E13" s="19">
        <v>999999</v>
      </c>
      <c r="F13" s="11">
        <v>0.37</v>
      </c>
      <c r="G13" s="23">
        <f t="shared" si="0"/>
        <v>0</v>
      </c>
    </row>
    <row r="14" spans="2:14">
      <c r="B14" s="22">
        <v>2018</v>
      </c>
      <c r="C14" s="10" t="s">
        <v>79</v>
      </c>
      <c r="D14" s="10">
        <v>11550</v>
      </c>
      <c r="E14" s="10">
        <v>30600</v>
      </c>
      <c r="F14" s="11">
        <v>0.1</v>
      </c>
      <c r="G14" s="23">
        <f t="shared" si="0"/>
        <v>1905</v>
      </c>
    </row>
    <row r="15" spans="2:14">
      <c r="B15" s="22">
        <v>2018</v>
      </c>
      <c r="C15" s="10" t="s">
        <v>79</v>
      </c>
      <c r="D15" s="10">
        <f t="shared" ref="D15:D20" si="2">E14</f>
        <v>30600</v>
      </c>
      <c r="E15" s="10">
        <v>88950</v>
      </c>
      <c r="F15" s="11">
        <v>0.12</v>
      </c>
      <c r="G15" s="23">
        <f t="shared" si="0"/>
        <v>7002</v>
      </c>
    </row>
    <row r="16" spans="2:14">
      <c r="B16" s="22">
        <v>2018</v>
      </c>
      <c r="C16" s="10" t="s">
        <v>79</v>
      </c>
      <c r="D16" s="10">
        <f t="shared" si="2"/>
        <v>88950</v>
      </c>
      <c r="E16" s="10">
        <v>176550</v>
      </c>
      <c r="F16" s="11">
        <v>0.22</v>
      </c>
      <c r="G16" s="23">
        <f t="shared" si="0"/>
        <v>9722.8483000000087</v>
      </c>
    </row>
    <row r="17" spans="2:7">
      <c r="B17" s="22">
        <v>2018</v>
      </c>
      <c r="C17" s="10" t="s">
        <v>79</v>
      </c>
      <c r="D17" s="10">
        <f t="shared" si="2"/>
        <v>176550</v>
      </c>
      <c r="E17" s="10">
        <v>326550</v>
      </c>
      <c r="F17" s="11">
        <v>0.24</v>
      </c>
      <c r="G17" s="23">
        <f t="shared" si="0"/>
        <v>0</v>
      </c>
    </row>
    <row r="18" spans="2:7">
      <c r="B18" s="22">
        <v>2018</v>
      </c>
      <c r="C18" s="10" t="s">
        <v>79</v>
      </c>
      <c r="D18" s="10">
        <f t="shared" si="2"/>
        <v>326550</v>
      </c>
      <c r="E18" s="10">
        <v>411550</v>
      </c>
      <c r="F18" s="11">
        <v>0.32</v>
      </c>
      <c r="G18" s="23">
        <f t="shared" si="0"/>
        <v>0</v>
      </c>
    </row>
    <row r="19" spans="2:7">
      <c r="B19" s="22">
        <v>2018</v>
      </c>
      <c r="C19" s="10" t="s">
        <v>79</v>
      </c>
      <c r="D19" s="10">
        <f t="shared" si="2"/>
        <v>411550</v>
      </c>
      <c r="E19" s="10">
        <v>611550</v>
      </c>
      <c r="F19" s="11">
        <v>0.35</v>
      </c>
      <c r="G19" s="23">
        <f t="shared" si="0"/>
        <v>0</v>
      </c>
    </row>
    <row r="20" spans="2:7">
      <c r="B20" s="22">
        <v>2018</v>
      </c>
      <c r="C20" s="10" t="s">
        <v>79</v>
      </c>
      <c r="D20" s="10">
        <f t="shared" si="2"/>
        <v>611550</v>
      </c>
      <c r="E20" s="10">
        <v>999999</v>
      </c>
      <c r="F20" s="11">
        <v>0.37</v>
      </c>
      <c r="G20" s="23">
        <f t="shared" si="0"/>
        <v>0</v>
      </c>
    </row>
    <row r="21" spans="2:7">
      <c r="B21" s="22">
        <v>2019</v>
      </c>
      <c r="C21" s="10" t="s">
        <v>80</v>
      </c>
      <c r="D21" s="10">
        <v>3800</v>
      </c>
      <c r="E21" s="10">
        <v>13500</v>
      </c>
      <c r="F21" s="11">
        <v>0.1</v>
      </c>
      <c r="G21" s="23">
        <f t="shared" si="0"/>
        <v>0</v>
      </c>
    </row>
    <row r="22" spans="2:7">
      <c r="B22" s="22">
        <v>2019</v>
      </c>
      <c r="C22" s="10" t="s">
        <v>80</v>
      </c>
      <c r="D22" s="10">
        <f t="shared" ref="D22:D27" si="3">E21</f>
        <v>13500</v>
      </c>
      <c r="E22" s="10">
        <v>43275</v>
      </c>
      <c r="F22" s="11">
        <v>0.12</v>
      </c>
      <c r="G22" s="23">
        <f t="shared" si="0"/>
        <v>0</v>
      </c>
    </row>
    <row r="23" spans="2:7">
      <c r="B23" s="22">
        <v>2019</v>
      </c>
      <c r="C23" s="10" t="s">
        <v>80</v>
      </c>
      <c r="D23" s="10">
        <f t="shared" si="3"/>
        <v>43275</v>
      </c>
      <c r="E23" s="10">
        <v>88000</v>
      </c>
      <c r="F23" s="11">
        <v>0.22</v>
      </c>
      <c r="G23" s="23">
        <f t="shared" si="0"/>
        <v>0</v>
      </c>
    </row>
    <row r="24" spans="2:7">
      <c r="B24" s="22">
        <v>2019</v>
      </c>
      <c r="C24" s="10" t="s">
        <v>80</v>
      </c>
      <c r="D24" s="10">
        <f t="shared" si="3"/>
        <v>88000</v>
      </c>
      <c r="E24" s="10">
        <v>164525</v>
      </c>
      <c r="F24" s="11">
        <v>0.24</v>
      </c>
      <c r="G24" s="23">
        <f t="shared" si="0"/>
        <v>0</v>
      </c>
    </row>
    <row r="25" spans="2:7">
      <c r="B25" s="22">
        <v>2019</v>
      </c>
      <c r="C25" s="10" t="s">
        <v>80</v>
      </c>
      <c r="D25" s="10">
        <f t="shared" si="3"/>
        <v>164525</v>
      </c>
      <c r="E25" s="10">
        <v>207900</v>
      </c>
      <c r="F25" s="11">
        <v>0.32</v>
      </c>
      <c r="G25" s="23">
        <f t="shared" si="0"/>
        <v>0</v>
      </c>
    </row>
    <row r="26" spans="2:7">
      <c r="B26" s="22">
        <v>2019</v>
      </c>
      <c r="C26" s="10" t="s">
        <v>80</v>
      </c>
      <c r="D26" s="10">
        <f t="shared" si="3"/>
        <v>207900</v>
      </c>
      <c r="E26" s="10">
        <v>514100</v>
      </c>
      <c r="F26" s="11">
        <v>0.35</v>
      </c>
      <c r="G26" s="23">
        <f t="shared" si="0"/>
        <v>0</v>
      </c>
    </row>
    <row r="27" spans="2:7">
      <c r="B27" s="22">
        <v>2019</v>
      </c>
      <c r="C27" s="10" t="s">
        <v>80</v>
      </c>
      <c r="D27" s="10">
        <f t="shared" si="3"/>
        <v>514100</v>
      </c>
      <c r="E27" s="10">
        <v>999999</v>
      </c>
      <c r="F27" s="11">
        <v>0.37</v>
      </c>
      <c r="G27" s="23">
        <f t="shared" si="0"/>
        <v>0</v>
      </c>
    </row>
    <row r="28" spans="2:7">
      <c r="B28" s="22">
        <v>2019</v>
      </c>
      <c r="C28" s="10" t="s">
        <v>79</v>
      </c>
      <c r="D28" s="10">
        <v>11800</v>
      </c>
      <c r="E28" s="10">
        <v>31200</v>
      </c>
      <c r="F28" s="11">
        <v>0.1</v>
      </c>
      <c r="G28" s="23">
        <f t="shared" si="0"/>
        <v>0</v>
      </c>
    </row>
    <row r="29" spans="2:7">
      <c r="B29" s="22">
        <v>2019</v>
      </c>
      <c r="C29" s="10" t="s">
        <v>79</v>
      </c>
      <c r="D29" s="10">
        <f t="shared" ref="D29:D34" si="4">E28</f>
        <v>31200</v>
      </c>
      <c r="E29" s="10">
        <v>90750</v>
      </c>
      <c r="F29" s="11">
        <v>0.12</v>
      </c>
      <c r="G29" s="23">
        <f t="shared" si="0"/>
        <v>0</v>
      </c>
    </row>
    <row r="30" spans="2:7">
      <c r="B30" s="22">
        <v>2019</v>
      </c>
      <c r="C30" s="10" t="s">
        <v>79</v>
      </c>
      <c r="D30" s="10">
        <f t="shared" si="4"/>
        <v>90750</v>
      </c>
      <c r="E30" s="10">
        <v>180200</v>
      </c>
      <c r="F30" s="11">
        <v>0.22</v>
      </c>
      <c r="G30" s="23">
        <f t="shared" si="0"/>
        <v>0</v>
      </c>
    </row>
    <row r="31" spans="2:7">
      <c r="B31" s="22">
        <v>2019</v>
      </c>
      <c r="C31" s="10" t="s">
        <v>79</v>
      </c>
      <c r="D31" s="10">
        <f t="shared" si="4"/>
        <v>180200</v>
      </c>
      <c r="E31" s="10">
        <v>333250</v>
      </c>
      <c r="F31" s="11">
        <v>0.24</v>
      </c>
      <c r="G31" s="23">
        <f t="shared" si="0"/>
        <v>0</v>
      </c>
    </row>
    <row r="32" spans="2:7">
      <c r="B32" s="22">
        <v>2019</v>
      </c>
      <c r="C32" s="10" t="s">
        <v>79</v>
      </c>
      <c r="D32" s="10">
        <f t="shared" si="4"/>
        <v>333250</v>
      </c>
      <c r="E32" s="10">
        <v>420000</v>
      </c>
      <c r="F32" s="11">
        <v>0.32</v>
      </c>
      <c r="G32" s="23">
        <f t="shared" si="0"/>
        <v>0</v>
      </c>
    </row>
    <row r="33" spans="2:7">
      <c r="B33" s="22">
        <v>2019</v>
      </c>
      <c r="C33" s="10" t="s">
        <v>79</v>
      </c>
      <c r="D33" s="10">
        <f t="shared" si="4"/>
        <v>420000</v>
      </c>
      <c r="E33" s="10">
        <v>624150</v>
      </c>
      <c r="F33" s="11">
        <v>0.35</v>
      </c>
      <c r="G33" s="23">
        <f t="shared" si="0"/>
        <v>0</v>
      </c>
    </row>
    <row r="34" spans="2:7" ht="16" thickBot="1">
      <c r="B34" s="24">
        <v>2019</v>
      </c>
      <c r="C34" s="25" t="s">
        <v>79</v>
      </c>
      <c r="D34" s="25">
        <f t="shared" si="4"/>
        <v>624150</v>
      </c>
      <c r="E34" s="25">
        <v>9999999</v>
      </c>
      <c r="F34" s="26">
        <v>0.37</v>
      </c>
      <c r="G34" s="23">
        <f t="shared" si="0"/>
        <v>0</v>
      </c>
    </row>
  </sheetData>
  <sheetProtection algorithmName="SHA-512" hashValue="SNa2uoitMh0G6X4maC+obvSF1qWBuVTbP1kLHUaVh6Btr6K1/kR/r2xZVAOi4utrBsaVRVgW3n35xhPNT/b9Sw==" saltValue="Hvscb6EsEmUZRhbmO5VQLg==" spinCount="100000" sheet="1" objects="1" scenarios="1" selectLockedCells="1" selectUnlockedCells="1"/>
  <mergeCells count="3">
    <mergeCell ref="B5:G5"/>
    <mergeCell ref="B2:D2"/>
    <mergeCell ref="B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S63"/>
  <sheetViews>
    <sheetView workbookViewId="0">
      <selection activeCell="M2" sqref="M2"/>
    </sheetView>
  </sheetViews>
  <sheetFormatPr baseColWidth="10" defaultColWidth="8.83203125" defaultRowHeight="15"/>
  <cols>
    <col min="2" max="2" width="21" style="1" customWidth="1"/>
    <col min="3" max="3" width="16.83203125" style="1" customWidth="1"/>
    <col min="4" max="4" width="17.1640625" style="1" customWidth="1"/>
    <col min="5" max="5" width="9.6640625" style="163" customWidth="1"/>
    <col min="6" max="7" width="15.83203125" style="3" customWidth="1"/>
    <col min="8" max="8" width="18.33203125" style="2" customWidth="1"/>
    <col min="9" max="10" width="20.5" style="1" customWidth="1"/>
    <col min="11" max="11" width="18" style="1" customWidth="1"/>
    <col min="12" max="12" width="13.83203125" style="2" customWidth="1"/>
    <col min="13" max="13" width="12.83203125" style="2" customWidth="1"/>
    <col min="14" max="14" width="15" style="2" customWidth="1"/>
    <col min="15" max="15" width="18.5" customWidth="1"/>
  </cols>
  <sheetData>
    <row r="1" spans="2:19">
      <c r="B1" s="8" t="s">
        <v>14</v>
      </c>
      <c r="C1" s="8" t="s">
        <v>20</v>
      </c>
      <c r="D1" s="8" t="s">
        <v>24</v>
      </c>
      <c r="E1" s="311" t="s">
        <v>159</v>
      </c>
      <c r="F1" s="312"/>
      <c r="G1" s="313"/>
      <c r="H1" s="129" t="s">
        <v>160</v>
      </c>
      <c r="I1" s="9" t="s">
        <v>50</v>
      </c>
      <c r="J1" s="209" t="s">
        <v>168</v>
      </c>
      <c r="K1" s="209" t="s">
        <v>74</v>
      </c>
      <c r="L1" s="209" t="s">
        <v>78</v>
      </c>
      <c r="M1" s="314" t="s">
        <v>83</v>
      </c>
      <c r="N1" s="314"/>
      <c r="O1" s="209" t="s">
        <v>189</v>
      </c>
    </row>
    <row r="2" spans="2:19" s="2" customFormat="1">
      <c r="B2" s="1" t="s">
        <v>13</v>
      </c>
      <c r="C2" s="1" t="s">
        <v>21</v>
      </c>
      <c r="D2" s="1" t="s">
        <v>25</v>
      </c>
      <c r="E2" s="164">
        <v>2018</v>
      </c>
      <c r="F2" s="165">
        <v>43079</v>
      </c>
      <c r="G2" s="166">
        <v>27</v>
      </c>
      <c r="H2" s="2">
        <f>VLOOKUP(EMP_YEAR,DEF_PPS_DATES,3)</f>
        <v>26</v>
      </c>
      <c r="I2" s="6" t="s">
        <v>51</v>
      </c>
      <c r="J2" s="6" t="s">
        <v>51</v>
      </c>
      <c r="K2" s="7" t="s">
        <v>70</v>
      </c>
      <c r="L2" s="2" t="s">
        <v>80</v>
      </c>
      <c r="M2" s="5">
        <v>2016</v>
      </c>
      <c r="N2" s="12">
        <v>4050</v>
      </c>
      <c r="O2" s="1">
        <f>IF(EMP_PP&gt;3,EMP_YEAR,EMP_YEAR-1)</f>
        <v>2018</v>
      </c>
    </row>
    <row r="3" spans="2:19">
      <c r="B3" s="1" t="s">
        <v>15</v>
      </c>
      <c r="C3" s="1" t="s">
        <v>17</v>
      </c>
      <c r="D3" s="1" t="s">
        <v>26</v>
      </c>
      <c r="E3" s="164">
        <v>2019</v>
      </c>
      <c r="F3" s="165">
        <v>43457</v>
      </c>
      <c r="G3" s="166">
        <v>26</v>
      </c>
      <c r="I3" s="4">
        <v>0.75</v>
      </c>
      <c r="J3" s="4">
        <v>0.83333333333333337</v>
      </c>
      <c r="K3" s="15">
        <v>6.2E-2</v>
      </c>
      <c r="L3" s="2" t="s">
        <v>79</v>
      </c>
      <c r="M3" s="5">
        <v>2017</v>
      </c>
      <c r="N3" s="12">
        <v>4050</v>
      </c>
      <c r="P3" s="2"/>
      <c r="Q3" s="2"/>
      <c r="R3" s="2"/>
      <c r="S3" s="2"/>
    </row>
    <row r="4" spans="2:19">
      <c r="B4" s="1" t="s">
        <v>16</v>
      </c>
      <c r="C4" s="1" t="s">
        <v>27</v>
      </c>
      <c r="D4" s="1" t="s">
        <v>17</v>
      </c>
      <c r="E4" s="164">
        <v>2020</v>
      </c>
      <c r="F4" s="165">
        <v>43821</v>
      </c>
      <c r="G4" s="166">
        <v>26</v>
      </c>
      <c r="I4" s="6" t="s">
        <v>52</v>
      </c>
      <c r="J4" s="6" t="s">
        <v>52</v>
      </c>
      <c r="K4" s="7" t="s">
        <v>5</v>
      </c>
      <c r="M4" s="5">
        <v>2018</v>
      </c>
      <c r="N4" s="12">
        <v>4150</v>
      </c>
      <c r="O4" t="s">
        <v>190</v>
      </c>
    </row>
    <row r="5" spans="2:19">
      <c r="B5" s="1" t="s">
        <v>21</v>
      </c>
      <c r="D5" s="1" t="s">
        <v>27</v>
      </c>
      <c r="E5" s="164"/>
      <c r="F5" s="167"/>
      <c r="G5" s="168"/>
      <c r="I5" s="4">
        <v>0.25</v>
      </c>
      <c r="J5" s="4">
        <v>0.99930555555555556</v>
      </c>
      <c r="K5" s="15">
        <v>1.4E-2</v>
      </c>
      <c r="M5" s="5">
        <v>2019</v>
      </c>
      <c r="N5" s="210">
        <v>4200</v>
      </c>
    </row>
    <row r="6" spans="2:19">
      <c r="B6" s="1" t="s">
        <v>91</v>
      </c>
      <c r="D6" s="1" t="s">
        <v>92</v>
      </c>
      <c r="E6" s="164"/>
      <c r="F6" s="167"/>
      <c r="G6" s="168"/>
      <c r="K6" s="7" t="s">
        <v>73</v>
      </c>
      <c r="M6" s="5"/>
      <c r="N6" s="12"/>
    </row>
    <row r="7" spans="2:19">
      <c r="B7" s="1" t="s">
        <v>105</v>
      </c>
      <c r="D7" s="1" t="s">
        <v>125</v>
      </c>
      <c r="E7" s="164"/>
      <c r="F7" s="167"/>
      <c r="G7" s="168"/>
      <c r="K7" s="15">
        <v>1.4500000000000001E-2</v>
      </c>
      <c r="M7" s="5"/>
      <c r="N7" s="12"/>
    </row>
    <row r="8" spans="2:19">
      <c r="E8" s="164"/>
      <c r="F8" s="167"/>
      <c r="G8" s="168"/>
      <c r="K8" s="5" t="s">
        <v>6</v>
      </c>
      <c r="M8" s="5"/>
      <c r="N8" s="12"/>
    </row>
    <row r="9" spans="2:19">
      <c r="E9" s="164"/>
      <c r="F9" s="167"/>
      <c r="G9" s="168"/>
      <c r="K9" s="15">
        <v>1.2999999999999999E-2</v>
      </c>
      <c r="M9" s="5"/>
      <c r="N9" s="12"/>
    </row>
    <row r="10" spans="2:19">
      <c r="E10" s="164"/>
      <c r="F10" s="167"/>
      <c r="G10" s="168"/>
      <c r="M10" s="5"/>
      <c r="N10" s="12"/>
    </row>
    <row r="11" spans="2:19">
      <c r="E11" s="164"/>
      <c r="F11" s="167"/>
      <c r="G11" s="168"/>
      <c r="M11" s="5"/>
      <c r="N11" s="210"/>
    </row>
    <row r="12" spans="2:19">
      <c r="E12" s="164"/>
      <c r="F12" s="167"/>
      <c r="G12" s="168"/>
      <c r="M12" s="5"/>
    </row>
    <row r="13" spans="2:19">
      <c r="E13" s="164"/>
      <c r="F13" s="167"/>
      <c r="G13" s="168"/>
    </row>
    <row r="14" spans="2:19">
      <c r="E14" s="164"/>
      <c r="F14" s="167"/>
      <c r="G14" s="168"/>
    </row>
    <row r="15" spans="2:19">
      <c r="E15" s="164"/>
      <c r="F15" s="167"/>
      <c r="G15" s="168"/>
    </row>
    <row r="16" spans="2:19">
      <c r="E16" s="164"/>
      <c r="F16" s="167"/>
      <c r="G16" s="168"/>
    </row>
    <row r="17" spans="5:11">
      <c r="E17" s="164"/>
      <c r="F17" s="167"/>
      <c r="G17" s="168"/>
    </row>
    <row r="18" spans="5:11">
      <c r="E18" s="164"/>
      <c r="F18" s="167"/>
      <c r="G18" s="168"/>
    </row>
    <row r="19" spans="5:11">
      <c r="E19" s="164"/>
      <c r="F19" s="167"/>
      <c r="G19" s="168"/>
    </row>
    <row r="20" spans="5:11" ht="16" thickBot="1">
      <c r="E20" s="169"/>
      <c r="F20" s="170"/>
      <c r="G20" s="171"/>
    </row>
    <row r="27" spans="5:11">
      <c r="K27" s="160"/>
    </row>
    <row r="50" spans="2:11">
      <c r="B50"/>
    </row>
    <row r="63" spans="2:11">
      <c r="K63" s="16"/>
    </row>
  </sheetData>
  <sheetProtection algorithmName="SHA-512" hashValue="5A62MnrL2jmgn32vSv+4R+xVzj22Luaqqgmu/gERkiGfCQl/+va2KmntPG7QNRxWHlCAI3GHI1938nlEuVxaQg==" saltValue="UUMCs8mDGc4WWZGY9vgxVQ==" spinCount="100000" sheet="1" objects="1" scenarios="1" selectLockedCells="1"/>
  <mergeCells count="2">
    <mergeCell ref="E1:G1"/>
    <mergeCell ref="M1:N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73AFA-401B-EA48-AFAA-EE8BB2A132AE}">
  <sheetPr codeName="Sheet3"/>
  <dimension ref="A2:W13"/>
  <sheetViews>
    <sheetView workbookViewId="0">
      <selection activeCell="M2" sqref="M2"/>
    </sheetView>
  </sheetViews>
  <sheetFormatPr baseColWidth="10" defaultRowHeight="15"/>
  <cols>
    <col min="1" max="19" width="10.83203125" style="12"/>
    <col min="20" max="20" width="12.1640625" style="12" bestFit="1" customWidth="1"/>
    <col min="21" max="21" width="11.6640625" style="12" bestFit="1" customWidth="1"/>
    <col min="22" max="22" width="11.1640625" style="12" bestFit="1" customWidth="1"/>
    <col min="23" max="16384" width="10.83203125" style="12"/>
  </cols>
  <sheetData>
    <row r="2" spans="1:23">
      <c r="N2" s="12" t="s">
        <v>116</v>
      </c>
      <c r="Q2" s="12" t="s">
        <v>118</v>
      </c>
      <c r="T2" s="12" t="s">
        <v>25</v>
      </c>
    </row>
    <row r="3" spans="1:23">
      <c r="B3" s="12" t="s">
        <v>108</v>
      </c>
      <c r="C3" s="12" t="s">
        <v>109</v>
      </c>
      <c r="D3" s="12" t="s">
        <v>0</v>
      </c>
      <c r="E3" s="12" t="s">
        <v>110</v>
      </c>
      <c r="F3" s="12" t="s">
        <v>122</v>
      </c>
      <c r="G3" s="12" t="s">
        <v>111</v>
      </c>
      <c r="H3" s="12" t="s">
        <v>113</v>
      </c>
      <c r="I3" s="12" t="s">
        <v>112</v>
      </c>
      <c r="J3" s="315" t="s">
        <v>117</v>
      </c>
      <c r="K3" s="315"/>
      <c r="L3" s="12" t="s">
        <v>114</v>
      </c>
    </row>
    <row r="4" spans="1:23">
      <c r="A4" s="12" t="s">
        <v>115</v>
      </c>
      <c r="B4" s="12">
        <v>6482.46</v>
      </c>
      <c r="C4" s="12">
        <v>73.72</v>
      </c>
      <c r="D4" s="12">
        <v>686</v>
      </c>
      <c r="E4" s="12">
        <v>75.349999999999994</v>
      </c>
      <c r="F4" s="12">
        <v>0</v>
      </c>
      <c r="G4" s="12">
        <f t="shared" ref="G4:G9" si="0">SUM(C4:F4)</f>
        <v>835.07</v>
      </c>
      <c r="H4" s="12">
        <v>0</v>
      </c>
      <c r="I4" s="12">
        <f t="shared" ref="I4:I9" si="1">B4-G4-H4</f>
        <v>5647.39</v>
      </c>
      <c r="J4" s="12">
        <f>I4-3315</f>
        <v>2332.3900000000003</v>
      </c>
      <c r="K4" s="12">
        <f>541.82+J4*0.24</f>
        <v>1101.5936000000002</v>
      </c>
      <c r="L4" s="12">
        <v>1110.98</v>
      </c>
      <c r="N4" s="12">
        <f>I4*0.24</f>
        <v>1355.3736000000001</v>
      </c>
      <c r="O4" s="12">
        <f>N4-253.78</f>
        <v>1101.5936000000002</v>
      </c>
      <c r="Q4" s="12">
        <f>I4-1057.42</f>
        <v>4589.97</v>
      </c>
      <c r="R4" s="12">
        <f>Q4*0.24</f>
        <v>1101.5928000000001</v>
      </c>
      <c r="T4" s="12">
        <f>I4*27</f>
        <v>152479.53</v>
      </c>
      <c r="U4" s="12">
        <f>T4-86200</f>
        <v>66279.53</v>
      </c>
      <c r="V4" s="12">
        <f>14089.5+(U4*0.24)</f>
        <v>29996.587200000002</v>
      </c>
      <c r="W4" s="12">
        <f>V4/27</f>
        <v>1110.9847111111112</v>
      </c>
    </row>
    <row r="5" spans="1:23">
      <c r="A5" s="12" t="s">
        <v>119</v>
      </c>
      <c r="B5" s="12">
        <v>7835.05</v>
      </c>
      <c r="C5" s="12">
        <v>178.55</v>
      </c>
      <c r="D5" s="12">
        <v>0</v>
      </c>
      <c r="E5" s="12">
        <v>77.459999999999994</v>
      </c>
      <c r="F5" s="12">
        <v>0</v>
      </c>
      <c r="G5" s="12">
        <f t="shared" si="0"/>
        <v>256.01</v>
      </c>
      <c r="H5" s="12">
        <v>153.69999999999999</v>
      </c>
      <c r="I5" s="12">
        <f t="shared" si="1"/>
        <v>7425.34</v>
      </c>
      <c r="J5" s="12">
        <f>I5-6790</f>
        <v>635.34000000000015</v>
      </c>
      <c r="K5" s="12">
        <f>1083.762+J5*0.24</f>
        <v>1236.2436</v>
      </c>
      <c r="L5" s="12">
        <v>1256.4100000000001</v>
      </c>
      <c r="T5" s="12">
        <f>I5*27</f>
        <v>200484.18</v>
      </c>
      <c r="U5" s="12">
        <f>T5-176550</f>
        <v>23934.179999999993</v>
      </c>
      <c r="V5" s="12">
        <f>28179+(U5*0.24)</f>
        <v>33923.203199999996</v>
      </c>
      <c r="W5" s="12">
        <f>V5/27</f>
        <v>1256.4149333333332</v>
      </c>
    </row>
    <row r="6" spans="1:23">
      <c r="A6" s="12" t="s">
        <v>120</v>
      </c>
      <c r="B6" s="12">
        <v>6467.1</v>
      </c>
      <c r="C6" s="12">
        <v>271.95</v>
      </c>
      <c r="D6" s="12">
        <v>295.68</v>
      </c>
      <c r="E6" s="12">
        <v>60.52</v>
      </c>
      <c r="F6" s="12">
        <v>101.92</v>
      </c>
      <c r="G6" s="12">
        <f t="shared" si="0"/>
        <v>730.06999999999994</v>
      </c>
      <c r="H6" s="12">
        <f>153.7*8</f>
        <v>1229.5999999999999</v>
      </c>
      <c r="I6" s="12">
        <f t="shared" si="1"/>
        <v>4507.43</v>
      </c>
      <c r="J6" s="12">
        <f>I6-3421</f>
        <v>1086.4300000000003</v>
      </c>
      <c r="K6" s="12">
        <f>342.58+(J6*0.22)</f>
        <v>581.59460000000001</v>
      </c>
      <c r="L6" s="12">
        <v>596.74</v>
      </c>
      <c r="T6" s="12">
        <f>I6*27</f>
        <v>121700.61000000002</v>
      </c>
      <c r="U6" s="12">
        <f>T6-88950</f>
        <v>32750.610000000015</v>
      </c>
      <c r="V6" s="12">
        <f>8907+(U6*0.22)</f>
        <v>16112.134200000004</v>
      </c>
      <c r="W6" s="12">
        <f>V6/27</f>
        <v>596.74571111111129</v>
      </c>
    </row>
    <row r="7" spans="1:23">
      <c r="A7" s="12" t="s">
        <v>121</v>
      </c>
      <c r="B7" s="12">
        <v>5320.8</v>
      </c>
      <c r="C7" s="12">
        <v>180.98</v>
      </c>
      <c r="D7" s="12">
        <v>319.25</v>
      </c>
      <c r="E7" s="12">
        <v>30.98</v>
      </c>
      <c r="F7" s="12">
        <v>50</v>
      </c>
      <c r="G7" s="12">
        <f t="shared" si="0"/>
        <v>581.21</v>
      </c>
      <c r="H7" s="12">
        <f>6*153.7</f>
        <v>922.19999999999993</v>
      </c>
      <c r="I7" s="12">
        <f t="shared" si="1"/>
        <v>3817.3900000000003</v>
      </c>
      <c r="J7" s="12">
        <f>I7-3421</f>
        <v>396.39000000000033</v>
      </c>
      <c r="K7" s="12">
        <f>342.58+(J7*0.22)</f>
        <v>429.78580000000005</v>
      </c>
      <c r="L7" s="12">
        <v>444.93</v>
      </c>
      <c r="T7" s="12">
        <f>I7*27</f>
        <v>103069.53000000001</v>
      </c>
      <c r="U7" s="12">
        <f>T7-88950</f>
        <v>14119.530000000013</v>
      </c>
      <c r="V7" s="12">
        <f>8907+(U7*0.22)</f>
        <v>12013.296600000003</v>
      </c>
      <c r="W7" s="12">
        <f>V7/27</f>
        <v>444.93691111111121</v>
      </c>
    </row>
    <row r="8" spans="1:23">
      <c r="B8" s="12">
        <v>6189.84</v>
      </c>
      <c r="C8" s="12">
        <v>173.59</v>
      </c>
      <c r="D8" s="12">
        <v>257.56</v>
      </c>
      <c r="E8" s="12">
        <v>31.13</v>
      </c>
      <c r="F8" s="12">
        <v>50</v>
      </c>
      <c r="G8" s="12">
        <f t="shared" si="0"/>
        <v>512.28</v>
      </c>
      <c r="H8" s="12">
        <f>I13*6</f>
        <v>900</v>
      </c>
      <c r="I8" s="12">
        <f t="shared" si="1"/>
        <v>4777.5600000000004</v>
      </c>
      <c r="L8" s="12">
        <v>798.65</v>
      </c>
      <c r="T8" s="12">
        <f>I8*27</f>
        <v>128994.12000000001</v>
      </c>
      <c r="U8" s="12">
        <f>T8-84550</f>
        <v>44444.12000000001</v>
      </c>
      <c r="V8" s="12">
        <f>10452.5+(U8*0.25)</f>
        <v>21563.530000000002</v>
      </c>
      <c r="W8" s="12">
        <f>V8/27</f>
        <v>798.64925925925934</v>
      </c>
    </row>
    <row r="9" spans="1:23">
      <c r="B9" s="12">
        <v>7868.03</v>
      </c>
      <c r="C9" s="12">
        <v>0</v>
      </c>
      <c r="D9" s="12">
        <v>693</v>
      </c>
      <c r="E9" s="12">
        <v>0</v>
      </c>
      <c r="F9" s="12">
        <v>0</v>
      </c>
      <c r="G9" s="12">
        <f t="shared" si="0"/>
        <v>693</v>
      </c>
      <c r="H9" s="12">
        <v>0</v>
      </c>
      <c r="I9" s="12">
        <f t="shared" si="1"/>
        <v>7175.03</v>
      </c>
    </row>
    <row r="13" spans="1:23">
      <c r="I13" s="12">
        <v>150</v>
      </c>
      <c r="J13" s="12">
        <f>150*26</f>
        <v>3900</v>
      </c>
    </row>
  </sheetData>
  <mergeCells count="1">
    <mergeCell ref="J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75</vt:i4>
      </vt:variant>
    </vt:vector>
  </HeadingPairs>
  <TitlesOfParts>
    <vt:vector size="83" baseType="lpstr">
      <vt:lpstr>INSTRUCTIONS</vt:lpstr>
      <vt:lpstr>STEP 1 - EMPLOYEE INFORMATION</vt:lpstr>
      <vt:lpstr>STEP 2 - HOURS WORKED</vt:lpstr>
      <vt:lpstr>STEP 3 - STATE TAXES</vt:lpstr>
      <vt:lpstr>LES SUMMARY</vt:lpstr>
      <vt:lpstr>DO NOT EDIT - FED TAX TABLES</vt:lpstr>
      <vt:lpstr>DO NOT EDIT - DEFINITIONS</vt:lpstr>
      <vt:lpstr>TEST - DELETE</vt:lpstr>
      <vt:lpstr>DED_NON_TAX</vt:lpstr>
      <vt:lpstr>DEF_EXEMPTION</vt:lpstr>
      <vt:lpstr>DEF_FERS</vt:lpstr>
      <vt:lpstr>DEF_FILING_STATUS</vt:lpstr>
      <vt:lpstr>DEF_LEAVE_TYPES</vt:lpstr>
      <vt:lpstr>DEF_MEDICARE</vt:lpstr>
      <vt:lpstr>DEF_NIGHT_DIF_END</vt:lpstr>
      <vt:lpstr>DEF_NIGHT_DIF_START</vt:lpstr>
      <vt:lpstr>DEF_OASDI</vt:lpstr>
      <vt:lpstr>DEF_PP_COUNT</vt:lpstr>
      <vt:lpstr>DEF_PPS_DATES</vt:lpstr>
      <vt:lpstr>DEF_SHIFT_TYPES</vt:lpstr>
      <vt:lpstr>DEF_SUNDAY_END</vt:lpstr>
      <vt:lpstr>DEF_SUNDAY_START</vt:lpstr>
      <vt:lpstr>DEF_TOS_TYPES</vt:lpstr>
      <vt:lpstr>DEF_UNION_DUES</vt:lpstr>
      <vt:lpstr>DEF_YEARS_27PP</vt:lpstr>
      <vt:lpstr>EMP_AL_BALANCE</vt:lpstr>
      <vt:lpstr>EMP_AL_BALANCE_NEG</vt:lpstr>
      <vt:lpstr>EMP_AL_EARN</vt:lpstr>
      <vt:lpstr>EMP_CIP_RATE</vt:lpstr>
      <vt:lpstr>EMP_CREDIT_BALANCE</vt:lpstr>
      <vt:lpstr>EMP_EXEMPTIONS</vt:lpstr>
      <vt:lpstr>EMP_FED_TAX_ADD</vt:lpstr>
      <vt:lpstr>EMP_FERS</vt:lpstr>
      <vt:lpstr>EMP_FILING_STATUS</vt:lpstr>
      <vt:lpstr>EMP_HOURLY</vt:lpstr>
      <vt:lpstr>EMP_NAME</vt:lpstr>
      <vt:lpstr>EMP_OASDI_OVERRIDE</vt:lpstr>
      <vt:lpstr>EMP_POST_TAX</vt:lpstr>
      <vt:lpstr>EMP_PP</vt:lpstr>
      <vt:lpstr>EMP_PRE_TAX</vt:lpstr>
      <vt:lpstr>EMP_PRE_TAX_TSP</vt:lpstr>
      <vt:lpstr>EMP_SL_BALANCE</vt:lpstr>
      <vt:lpstr>EMP_SL_BALANCE_NEG</vt:lpstr>
      <vt:lpstr>EMP_TCOMP_BALANCE</vt:lpstr>
      <vt:lpstr>EMP_YEAR</vt:lpstr>
      <vt:lpstr>END_BALANCE_AL</vt:lpstr>
      <vt:lpstr>END_BALANCE_CREDIT</vt:lpstr>
      <vt:lpstr>END_BALANCE_SL</vt:lpstr>
      <vt:lpstr>END_BALANCE_TCOMP</vt:lpstr>
      <vt:lpstr>FED_TAX_TOTAL</vt:lpstr>
      <vt:lpstr>FED_TAX_YEAR</vt:lpstr>
      <vt:lpstr>GROSS_PAY</vt:lpstr>
      <vt:lpstr>GROSS_TAXABLE</vt:lpstr>
      <vt:lpstr>GROSS_TAXABLE_TSP</vt:lpstr>
      <vt:lpstr>HOURS_WORKED_LAST_DAY</vt:lpstr>
      <vt:lpstr>HOURS_WORKED_LEAVE_HOURS</vt:lpstr>
      <vt:lpstr>HOURS_WORKED_LEAVE_TYPE</vt:lpstr>
      <vt:lpstr>HOURS_WORKED_SHIFT_HOURS</vt:lpstr>
      <vt:lpstr>HOURS_WORKED_SHIFT_TYPE</vt:lpstr>
      <vt:lpstr>HOURS_WORKED_TOS_HOURS</vt:lpstr>
      <vt:lpstr>HOURS_WORKED_TOS_TYPE</vt:lpstr>
      <vt:lpstr>Pay_Period_Start_Calculation</vt:lpstr>
      <vt:lpstr>'STEP 2 - HOURS WORKED'!Print_Area</vt:lpstr>
      <vt:lpstr>STATE_TAX_TOTAL</vt:lpstr>
      <vt:lpstr>TAX_TABLES</vt:lpstr>
      <vt:lpstr>TOTAL_DEDUCTIONS</vt:lpstr>
      <vt:lpstr>UPDATED</vt:lpstr>
      <vt:lpstr>WORKED_CIC</vt:lpstr>
      <vt:lpstr>WORKED_CIC_TEST</vt:lpstr>
      <vt:lpstr>WORKED_CIP</vt:lpstr>
      <vt:lpstr>WORKED_CIP_TEST</vt:lpstr>
      <vt:lpstr>WORKED_HOLIDAY</vt:lpstr>
      <vt:lpstr>WORKED_HOLIDAY_TEST</vt:lpstr>
      <vt:lpstr>WORKED_NIGHT_DIF</vt:lpstr>
      <vt:lpstr>WORKED_NIGHT_DIF_TEST</vt:lpstr>
      <vt:lpstr>WORKED_OJTI</vt:lpstr>
      <vt:lpstr>WORKED_OJTI_TEST</vt:lpstr>
      <vt:lpstr>WORKED_OT</vt:lpstr>
      <vt:lpstr>WORKED_OT_TEST</vt:lpstr>
      <vt:lpstr>WORKED_REGULAR</vt:lpstr>
      <vt:lpstr>WORKED_REGULAR_TEST</vt:lpstr>
      <vt:lpstr>WORKED_SUNDAY</vt:lpstr>
      <vt:lpstr>WORKED_SUNDAY_TEST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dc:creator>
  <cp:lastModifiedBy>Jason Doss</cp:lastModifiedBy>
  <cp:lastPrinted>2019-02-07T22:42:13Z</cp:lastPrinted>
  <dcterms:created xsi:type="dcterms:W3CDTF">2008-02-17T01:37:23Z</dcterms:created>
  <dcterms:modified xsi:type="dcterms:W3CDTF">2019-02-20T17:07:15Z</dcterms:modified>
</cp:coreProperties>
</file>